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5440" windowHeight="13965" tabRatio="813"/>
  </bookViews>
  <sheets>
    <sheet name="branza drogowa" sheetId="1" r:id="rId1"/>
    <sheet name="Drzewa" sheetId="23" state="hidden" r:id="rId2"/>
    <sheet name="Powierzchnie" sheetId="24" state="hidden" r:id="rId3"/>
    <sheet name="OBI" sheetId="25" state="hidden" r:id="rId4"/>
    <sheet name="SBL" sheetId="26" state="hidden" r:id="rId5"/>
    <sheet name="ZISCO" sheetId="27" state="hidden" r:id="rId6"/>
  </sheets>
  <definedNames>
    <definedName name="_xlnm._FilterDatabase" localSheetId="0" hidden="1">'branza drogowa'!$A$4:$E$84</definedName>
    <definedName name="_xlnm._FilterDatabase" localSheetId="1" hidden="1">Drzewa!$A$1:$C$278</definedName>
    <definedName name="_Toc460761026" localSheetId="0">'branza drogowa'!#REF!</definedName>
    <definedName name="_xlnm.Print_Area" localSheetId="0">'branza drogowa'!$A$1:$G$108</definedName>
    <definedName name="_xlnm.Print_Area" localSheetId="3">OBI!$A$1:$C$16</definedName>
    <definedName name="_xlnm.Print_Area" localSheetId="4">SBL!$A$1:$C$10</definedName>
    <definedName name="_xlnm.Print_Area" localSheetId="5">ZISCO!$A$1:$C$17</definedName>
    <definedName name="OLE_LINK1" localSheetId="0">'branza drogowa'!#REF!</definedName>
  </definedNames>
  <calcPr calcId="145621"/>
</workbook>
</file>

<file path=xl/calcChain.xml><?xml version="1.0" encoding="utf-8"?>
<calcChain xmlns="http://schemas.openxmlformats.org/spreadsheetml/2006/main">
  <c r="E18" i="1" l="1"/>
  <c r="E80" i="1"/>
  <c r="E57" i="1" l="1"/>
  <c r="E60" i="1"/>
  <c r="E51" i="1" l="1"/>
  <c r="E50" i="1"/>
  <c r="E46" i="1" l="1"/>
  <c r="E47" i="1"/>
  <c r="E44" i="1"/>
  <c r="E54" i="1" l="1"/>
  <c r="C25" i="27" l="1"/>
  <c r="C26" i="27" s="1"/>
  <c r="C24" i="27"/>
  <c r="G20" i="27"/>
  <c r="E15" i="27"/>
  <c r="E17" i="27" s="1"/>
  <c r="C15" i="27"/>
  <c r="C16" i="27" s="1"/>
  <c r="G14" i="27"/>
  <c r="A7" i="27"/>
  <c r="A8" i="27" s="1"/>
  <c r="A9" i="27" s="1"/>
  <c r="A10" i="27" s="1"/>
  <c r="A11" i="27" s="1"/>
  <c r="A12" i="27" s="1"/>
  <c r="A13" i="27" s="1"/>
  <c r="C18" i="26"/>
  <c r="C19" i="26" s="1"/>
  <c r="C17" i="26"/>
  <c r="G13" i="26"/>
  <c r="E8" i="26"/>
  <c r="E10" i="26" s="1"/>
  <c r="C8" i="26"/>
  <c r="C10" i="26" s="1"/>
  <c r="C14" i="26" s="1"/>
  <c r="G7" i="26"/>
  <c r="F6" i="26"/>
  <c r="D6" i="26"/>
  <c r="C24" i="25"/>
  <c r="C25" i="25" s="1"/>
  <c r="C23" i="25"/>
  <c r="G19" i="25"/>
  <c r="E14" i="25"/>
  <c r="E15" i="25" s="1"/>
  <c r="C14" i="25"/>
  <c r="C15" i="25" s="1"/>
  <c r="G13" i="25"/>
  <c r="I14" i="24"/>
  <c r="E14" i="24"/>
  <c r="D12" i="24"/>
  <c r="D14" i="24" s="1"/>
  <c r="B12" i="24"/>
  <c r="B14" i="24" s="1"/>
  <c r="G10" i="24"/>
  <c r="G9" i="24"/>
  <c r="G8" i="24"/>
  <c r="K7" i="24"/>
  <c r="F5" i="24"/>
  <c r="F12" i="24" s="1"/>
  <c r="K3" i="24"/>
  <c r="J3" i="24"/>
  <c r="H3" i="24"/>
  <c r="H14" i="24" s="1"/>
  <c r="C3" i="24"/>
  <c r="C14" i="24" s="1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B2" i="23"/>
  <c r="E16" i="27" l="1"/>
  <c r="C9" i="26"/>
  <c r="G12" i="24"/>
  <c r="G14" i="24" s="1"/>
  <c r="G19" i="24" s="1"/>
  <c r="E9" i="26"/>
  <c r="B17" i="24"/>
  <c r="B16" i="24"/>
  <c r="B15" i="24"/>
  <c r="D15" i="24"/>
  <c r="D19" i="24"/>
  <c r="E16" i="25"/>
  <c r="C17" i="27"/>
  <c r="C21" i="27" s="1"/>
  <c r="D17" i="24"/>
  <c r="C16" i="25"/>
  <c r="C20" i="25" s="1"/>
</calcChain>
</file>

<file path=xl/sharedStrings.xml><?xml version="1.0" encoding="utf-8"?>
<sst xmlns="http://schemas.openxmlformats.org/spreadsheetml/2006/main" count="314" uniqueCount="201">
  <si>
    <t>L.p.</t>
  </si>
  <si>
    <t>Podstawa</t>
  </si>
  <si>
    <t>Opis i wyliczenia</t>
  </si>
  <si>
    <t>J.m.</t>
  </si>
  <si>
    <t>SST CPV</t>
  </si>
  <si>
    <t>01.00.00 45100000-8</t>
  </si>
  <si>
    <t>ROBOTY PRZYGOTOWAWCZE Roboty w zakresie burzenia, roboty ziemne</t>
  </si>
  <si>
    <t>Odtworzenie trasy i punktów wysokościowych</t>
  </si>
  <si>
    <t>01.02.02</t>
  </si>
  <si>
    <t>Zdjęcie warstwy humusu</t>
  </si>
  <si>
    <t>01.02.04</t>
  </si>
  <si>
    <t>Rozbiórki elementów dróg, ogrodzeń i przepustów</t>
  </si>
  <si>
    <t>02.00.00 45110000-8</t>
  </si>
  <si>
    <t>ROBOTY ZIEMNE Roboty w zakresie usuwania gleby</t>
  </si>
  <si>
    <t>02.01.01</t>
  </si>
  <si>
    <t>Wykonanie wykopów</t>
  </si>
  <si>
    <t>02.03.01</t>
  </si>
  <si>
    <t>Wykonanie nasypów</t>
  </si>
  <si>
    <t>04.00.00 45200000-9</t>
  </si>
  <si>
    <t>PODBUDOWY Roboty w zakresie konstruowania, fundamentowania oraz wykonywania nawierzchni autostrad, dróg</t>
  </si>
  <si>
    <t>04.03.01</t>
  </si>
  <si>
    <t>Oczyszczenie i skropienie warstw konstrukcyjnych</t>
  </si>
  <si>
    <t>04.04.02</t>
  </si>
  <si>
    <t>05.02.01</t>
  </si>
  <si>
    <t>05.03.11</t>
  </si>
  <si>
    <t>Frezowanie nawierzchni asfaltowych na zimno</t>
  </si>
  <si>
    <t>05.03.23</t>
  </si>
  <si>
    <t>05.03.26a</t>
  </si>
  <si>
    <t>Zabezpieczenie geosiatką nawierzchni asfaltowej przed spękaniami odbitymi</t>
  </si>
  <si>
    <t>06.00.00 45200000-9</t>
  </si>
  <si>
    <t>ROBOTY WYKOŃCZENIOWE Roboty w zakresie konstruowania, fundamentowania oraz wykonywania nawierzchni autostrad, dróg</t>
  </si>
  <si>
    <t>06.01.01</t>
  </si>
  <si>
    <t>Umocnienie skarp i dna rowów</t>
  </si>
  <si>
    <t>Pobocza utwardzone kruszywem łamanym</t>
  </si>
  <si>
    <t>SST</t>
  </si>
  <si>
    <t>08.00.00</t>
  </si>
  <si>
    <t>ELEMENTY ULIC</t>
  </si>
  <si>
    <t>CPV</t>
  </si>
  <si>
    <t>45200000-9</t>
  </si>
  <si>
    <t>Roboty w zakresie konstruowania, fundamentowania oraz wykonywania nawierzchni autostrad, dróg</t>
  </si>
  <si>
    <t>08.01.01</t>
  </si>
  <si>
    <t>Krawężniki betonowe</t>
  </si>
  <si>
    <t>m</t>
  </si>
  <si>
    <t>08.03.01</t>
  </si>
  <si>
    <t>Betonowe obrzeża chodnikowe</t>
  </si>
  <si>
    <t>km</t>
  </si>
  <si>
    <t xml:space="preserve">Razem netto : </t>
  </si>
  <si>
    <t>Kanalizacja sanitarna</t>
  </si>
  <si>
    <t>Kanalizacja deszczowa - ETAP 3</t>
  </si>
  <si>
    <t>Gazociąg średniego ciśnienia - ETAP 3</t>
  </si>
  <si>
    <t>Gazociąg średniego podw. ciśnienia - ETAP 3</t>
  </si>
  <si>
    <t>Gazociąg - zabezpieczenie sieci - ETAP 3</t>
  </si>
  <si>
    <t>Oświetlenie - ETAP 3</t>
  </si>
  <si>
    <t>Przebudowa SN i nN - Etap 3</t>
  </si>
  <si>
    <t>Teletechnika - ETAP 3</t>
  </si>
  <si>
    <t xml:space="preserve">Podatek VAT 23 % : </t>
  </si>
  <si>
    <t xml:space="preserve">Razem bruttto : </t>
  </si>
  <si>
    <t>Budżet</t>
  </si>
  <si>
    <t>GROTEX</t>
  </si>
  <si>
    <t>OBI</t>
  </si>
  <si>
    <t>JUMAR</t>
  </si>
  <si>
    <t>GRYF</t>
  </si>
  <si>
    <t>IMB</t>
  </si>
  <si>
    <t>Myszków podobny most 2 przęsła po 30 mb</t>
  </si>
  <si>
    <t>Rys 8.3.1</t>
  </si>
  <si>
    <t>Obwodnica</t>
  </si>
  <si>
    <t>Serwisowe</t>
  </si>
  <si>
    <t>Rys 8.3.2</t>
  </si>
  <si>
    <t>Rys 8.3.3</t>
  </si>
  <si>
    <t>Rys 8.3.4</t>
  </si>
  <si>
    <t>Rys 8.3.5</t>
  </si>
  <si>
    <t>Rys 8.3.6</t>
  </si>
  <si>
    <t>Rys 8.3.7</t>
  </si>
  <si>
    <t>192 mb DS19</t>
  </si>
  <si>
    <t>321 mb Osied</t>
  </si>
  <si>
    <t>ścieralna</t>
  </si>
  <si>
    <t>1096 mb DS19</t>
  </si>
  <si>
    <t>wiążąca</t>
  </si>
  <si>
    <t>podbudowa asf.</t>
  </si>
  <si>
    <t>podbudowa z kruszywa</t>
  </si>
  <si>
    <t>244 mb DS20</t>
  </si>
  <si>
    <t>stabilizacja</t>
  </si>
  <si>
    <t>dreny</t>
  </si>
  <si>
    <t>ciągi pieszo rowe</t>
  </si>
  <si>
    <t>kostki</t>
  </si>
  <si>
    <t>krawężnik</t>
  </si>
  <si>
    <t xml:space="preserve">Ile dajemy : </t>
  </si>
  <si>
    <t>Tutaj proszę wpisać kwotę</t>
  </si>
  <si>
    <t>Realizacja projektu Trasa Sudecka - budowa obwodnicy Dzierżoniowa w ciągu drogi wojewódzkiej nr 382 (od skrzyżowania z drogą wojewódzką nr 383 ul. Jana Kilińskiego wraz z rondem do włączenia w drogę wojewódzką nr 382 ul. Świdnicka). CPV 45000000-7, 71320000-7</t>
  </si>
  <si>
    <t>Zestawienie cenowe</t>
  </si>
  <si>
    <t>Kanalizacja deszczowa - zakres ronda</t>
  </si>
  <si>
    <t>Branża wodociągowa - ETAP 3</t>
  </si>
  <si>
    <t>Branża wodociągowa - zakres ronda</t>
  </si>
  <si>
    <t>Gazociąg - demontaż - zakres ronda</t>
  </si>
  <si>
    <t>Oświetlenie - zakres ronda</t>
  </si>
  <si>
    <t>Przebudowa SN i nN - zakres ronda</t>
  </si>
  <si>
    <t>Przebudowa sieci 220 kV</t>
  </si>
  <si>
    <t>Teletechnika - ETAP - zakres ronda</t>
  </si>
  <si>
    <t>Roboty mostowe - Widukt W-1</t>
  </si>
  <si>
    <t>Roboty mostowe - Estakada W-2</t>
  </si>
  <si>
    <t>Wykonanie wykopów mechanicznie</t>
  </si>
  <si>
    <t xml:space="preserve">Wykonanie poboczy z kruszywa łamanego 0/31,5mm gr.10cm </t>
  </si>
  <si>
    <t>01.01.01</t>
  </si>
  <si>
    <t>06.03.01</t>
  </si>
  <si>
    <t>05.03.05a</t>
  </si>
  <si>
    <t>Rozebranie przepustów rurowych betonowych o średnicy 0.40m</t>
  </si>
  <si>
    <t xml:space="preserve">Oczyszczenie i skropienie pod warstwę ścieralną </t>
  </si>
  <si>
    <t>Oczyszczenie i skropienie pod warstwę wiążącą</t>
  </si>
  <si>
    <t>Ułożenie geosiatki szklanej powleczonej asfaltem na połaczeniu starej i nowej nawierzchni</t>
  </si>
  <si>
    <t xml:space="preserve">06.01.01 </t>
  </si>
  <si>
    <t>04.01.01</t>
  </si>
  <si>
    <t>Koryto wraz z profilowaniem i zagęszczeniem podłoża</t>
  </si>
  <si>
    <t>ilość</t>
  </si>
  <si>
    <t xml:space="preserve">Kostka brukowa betonowa gr. 8cm koloru szarego na podsypce piaskowej gr. 3cm                                                                                                  </t>
  </si>
  <si>
    <t>Konstrukcja nawierzchni chodnika</t>
  </si>
  <si>
    <t>Wykonanie nawierzchni z mieszanki niezwiązanej 0/31,5 gr. 10cm</t>
  </si>
  <si>
    <t>Podbudowa zasadnicza z mieszanki niezwiązanej 0/31.5 z kruszywa C90/3 stabilizowanego mechanicznie gr. 20cm</t>
  </si>
  <si>
    <t xml:space="preserve">Kostka brukowa betonowa gr. 8cm koloru czerwonego na podsypce piaskowej gr. 3cm                                                                                                  </t>
  </si>
  <si>
    <t>Podbudowa zasadnicza z mieszanki niezwiązanej 0/31.5 z kruszywa C90/3 stabilizowanego mechanicznie gr. 10cm</t>
  </si>
  <si>
    <t>Konstrukcja nawierzchni zjazdu indywidualnego</t>
  </si>
  <si>
    <t>Warstwa wiążąca z betonu asfaltowego AC 16 W 50/70 gr. 8cm</t>
  </si>
  <si>
    <t>Warstwa ścieralna z betonu asfaltowego AC 11 S 50/70 gr. 4cm</t>
  </si>
  <si>
    <t>Konstrukcja nawierzchni jezdni DP 3208W - KR 2</t>
  </si>
  <si>
    <t>Koryto wraz z profilowaniem i zagęszczeniem podłoża 
- DP 3208W</t>
  </si>
  <si>
    <t>Rozebranie ścianek czołowych przepustów pod zjazdami</t>
  </si>
  <si>
    <t>Rozebranie nawierzchni betonowej na zjazdach</t>
  </si>
  <si>
    <t xml:space="preserve">Usunięcie warstwy ziemi urodzajnej (humusu):                                                             - DW382 - średnia gr. 10cm                                                                                                            </t>
  </si>
  <si>
    <t>Konstrukcja nawierzchni zjazdu na drogę przeciwpożarową/ leśną</t>
  </si>
  <si>
    <t>Odtworzenie i regulacja istniejącego rowu przydrożnego</t>
  </si>
  <si>
    <t>03.00.00 45200000-9</t>
  </si>
  <si>
    <t>ODWODNIENIE KORPUSU DROGOWEGO Roboty budowlane w zakresie budowy rurociągów, ciągów komunikacyjnych i linii energetycznych</t>
  </si>
  <si>
    <t>03.03.01</t>
  </si>
  <si>
    <t>Sączki podłużne</t>
  </si>
  <si>
    <t>Rury kanalizacyjne PVC-U Dn200</t>
  </si>
  <si>
    <t>mb</t>
  </si>
  <si>
    <t>Rury drenarskie karbowane z otworami PVC-U Dn200</t>
  </si>
  <si>
    <t>Studzienki rewizyjne z tworzywa PP Dn425</t>
  </si>
  <si>
    <t>Kolano Dn200 90st. do rur drenarskich PVC-U</t>
  </si>
  <si>
    <t>Kolano Dn200 30 st. do rur drenarskich PVC-U</t>
  </si>
  <si>
    <t>Geowłóknina separująco-filtrująca</t>
  </si>
  <si>
    <t>Narzut kamienny wokół wylotu drenażu</t>
  </si>
  <si>
    <t>Żwir naturalny o uziarnieniu 16-32 mm</t>
  </si>
  <si>
    <t>Szpilka stalowa</t>
  </si>
  <si>
    <t>kpl.</t>
  </si>
  <si>
    <t>szt.</t>
  </si>
  <si>
    <t>Wykonanie frezowania nawierzchni asfaltowych na zimno: śr. gr. w-wy 10 cm na włączeniach do istniejących dróg</t>
  </si>
  <si>
    <t>07.00.00</t>
  </si>
  <si>
    <t>OZNAKOWANIE DRÓG I URZĄDZENIA BEZPIECZEŃSTWA RUCHU</t>
  </si>
  <si>
    <t>45233000-9</t>
  </si>
  <si>
    <t>07.01.01</t>
  </si>
  <si>
    <t>Oznakowanie poziome</t>
  </si>
  <si>
    <t>Oznakowanie pionowe do przestawienia</t>
  </si>
  <si>
    <t>WYMAGANIA OGÓLNE</t>
  </si>
  <si>
    <t>00.00.00 45000000-7</t>
  </si>
  <si>
    <t>00.00.00</t>
  </si>
  <si>
    <t>Wprowadzenie i utrzymanie czasowej organizacji ruchu wraz z likwidacją po zakończeniu robót</t>
  </si>
  <si>
    <t>Ustawienie obrzeży betonowych o wymiarach 8x30cm na ławie z betonu C12/15</t>
  </si>
  <si>
    <t>Roboty pomiarowe przy liniowych robotach ziemnych - trasa dróg w terenie równinnym</t>
  </si>
  <si>
    <t>Rozebranie nawierzchni z kruszywa gr. 20 cm - DP 3208W</t>
  </si>
  <si>
    <t>Linie segregacyjne ciągłe i przerywane</t>
  </si>
  <si>
    <t>Wartość kosztorysowa robót bez podatku VAT</t>
  </si>
  <si>
    <t>Ogółem wartość kosztorysowa robót</t>
  </si>
  <si>
    <t>01.02.01</t>
  </si>
  <si>
    <t>Usunięcie drzew i krzewów</t>
  </si>
  <si>
    <t>Usunięcie z karczowaniem drzew wraz z załadunkiem, wywozem i utylizacją pozostałości po drzewach</t>
  </si>
  <si>
    <t>Cena jednostkowa  netto w PLN</t>
  </si>
  <si>
    <t>Wartość netto w PLN</t>
  </si>
  <si>
    <r>
      <t>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</si>
  <si>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Arial"/>
        <family val="2"/>
        <charset val="238"/>
      </rPr>
      <t/>
    </r>
  </si>
  <si>
    <t>- po zmianie nr 1</t>
  </si>
  <si>
    <t>Studzienki rewizyjne krawężnikowe (skrzynki odpływowe)</t>
  </si>
  <si>
    <t>Trójnik Dn200 równoprzelotowy do rur drenarskich Dn200 PVC-u</t>
  </si>
  <si>
    <t xml:space="preserve">„Przebudowa drogi powiatowej nr 3208W (Wielbark) – gr. woj. Zaręby w na odcinku od km 10+150 do km 11+140, stanowiącej dojazd do mostu na kanale Omulew - Płodownica”
</t>
  </si>
  <si>
    <r>
      <t>Wykopy oraz przekopy wykonywane koparkami podsiębiernymi 0,70m3 na odkład w gruncie kat. IV</t>
    </r>
    <r>
      <rPr>
        <vertAlign val="superscript"/>
        <sz val="10"/>
        <color theme="1"/>
        <rFont val="Tahoma"/>
        <family val="2"/>
        <charset val="238"/>
      </rPr>
      <t xml:space="preserve">              </t>
    </r>
  </si>
  <si>
    <t>20. wariant I</t>
  </si>
  <si>
    <t>17. wariant II</t>
  </si>
  <si>
    <t>20. wariant II</t>
  </si>
  <si>
    <t>42. wariant II</t>
  </si>
  <si>
    <t>43. wariant II</t>
  </si>
  <si>
    <t>44. wariant II</t>
  </si>
  <si>
    <t>……………………………………………………..</t>
  </si>
  <si>
    <t>(podpis osoby ze strony Wykonawcy, upoważnionej do składania oświadczeń woli)</t>
  </si>
  <si>
    <t>Miejsce i data sporządzenia ……………………………………………..</t>
  </si>
  <si>
    <t xml:space="preserve">Ustawienie krawężników obniżonych 15x22x100cm na ławie z betonu C20/25 </t>
  </si>
  <si>
    <t xml:space="preserve">Ustawienie krawężników wyniesionych 15x30,x100cm na ławie z betonu C20/25 </t>
  </si>
  <si>
    <t xml:space="preserve">Ustawienie krawężników skośnych 15x22/30x100cm na ławie z betonu C20/25 </t>
  </si>
  <si>
    <t>KOSZTORYS OFERTOWY</t>
  </si>
  <si>
    <t>03.02.01</t>
  </si>
  <si>
    <t>08.05.01</t>
  </si>
  <si>
    <t xml:space="preserve">Wyznaczenie trasy i punktów wysokościowych w terenie DP 3208W </t>
  </si>
  <si>
    <t>Podatek VAT ……..%</t>
  </si>
  <si>
    <t xml:space="preserve">17. wariant I </t>
  </si>
  <si>
    <r>
      <t>Specyfikacja istotnych warunków zamówienia w pkt 19. Opis sposobu obliczenia ceny- ppkt 1a pkt 19 otrzymał brzmienie: 1a.</t>
    </r>
    <r>
      <rPr>
        <sz val="7"/>
        <rFont val="Times New Roman"/>
        <family val="1"/>
        <charset val="238"/>
      </rPr>
      <t xml:space="preserve">    </t>
    </r>
    <r>
      <rPr>
        <sz val="9"/>
        <rFont val="Verdana"/>
        <family val="2"/>
        <charset val="238"/>
      </rPr>
      <t xml:space="preserve">Wykonawca dokona wyceny pozycji 17 wariant I  i pozycji  20 wariant I  lub równoważnego wariantu II dla pozycji: 17 wariant II, 20 wariant II, 42 wariant II, 43 wariant II, 44 wariant II.   Tylko kompletna wycena w obrębie przyjętego wariantu będzie podlegała ocenie i zastosowaniu kryteriów wyboru oferty. Brak wybranego i wycenionego wariantu I lub II , będzie kwalifikował ofertę, jako niezgodną z SIWZ. Pozostała treść SIWZ nie uległa zmianie. Przyjęte w pkt. 22 SIWZ kryteria oceny ofert pozostają bez zmian. Powyższe stanowi załącznik do pisma SIiZP 252.165.IV.5.2018 w sprawie zmiany treści SIWZ z dnia 22 listopada 2018 roku </t>
    </r>
  </si>
  <si>
    <t>42. wariant I</t>
  </si>
  <si>
    <t xml:space="preserve">Ustawienie krawężników obniżonych 15x20,5x 100cm w systemie odwodnienia krawężnikowego  na ławie z betonu C20/25 </t>
  </si>
  <si>
    <t xml:space="preserve">Ustawienie krawężników wyniesionych 15x30,5x 50cm w systemie odwodnienia krawężnikowego na ławie z betonu C20/25 </t>
  </si>
  <si>
    <t xml:space="preserve">44.I wariant </t>
  </si>
  <si>
    <t xml:space="preserve">43.I wariant </t>
  </si>
  <si>
    <t xml:space="preserve">Ustawienie krawężników skośnych 15x20,5 /30,50x100cm w systemie odwodnienia krawężnikowego  na ławie z betonu C20/25 </t>
  </si>
  <si>
    <t>Wpusty wraz z osadnikiem oraz podłączeniem do drenażu</t>
  </si>
  <si>
    <t>Ściek przykrawężnikowy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</si>
</sst>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%"/>
    <numFmt numFmtId="165" formatCode="0&quot; cm&quot;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0"/>
      <color theme="1"/>
      <name val="Tahoma"/>
      <family val="2"/>
      <charset val="238"/>
    </font>
    <font>
      <sz val="9"/>
      <name val="Verdana"/>
      <family val="2"/>
      <charset val="238"/>
    </font>
    <font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1" fillId="0" borderId="1"/>
    <xf numFmtId="44" fontId="3" fillId="0" borderId="1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1" applyFont="0" applyFill="0" applyBorder="0" applyAlignment="0" applyProtection="0"/>
    <xf numFmtId="0" fontId="7" fillId="0" borderId="1"/>
    <xf numFmtId="0" fontId="1" fillId="0" borderId="1"/>
    <xf numFmtId="0" fontId="1" fillId="0" borderId="1" applyNumberFormat="0" applyFont="0" applyFill="0" applyBorder="0" applyAlignment="0" applyProtection="0">
      <alignment vertical="top"/>
    </xf>
    <xf numFmtId="0" fontId="7" fillId="0" borderId="1"/>
    <xf numFmtId="44" fontId="1" fillId="0" borderId="1" applyFont="0" applyFill="0" applyBorder="0" applyAlignment="0" applyProtection="0"/>
    <xf numFmtId="9" fontId="1" fillId="0" borderId="1" applyFont="0" applyFill="0" applyBorder="0" applyAlignment="0" applyProtection="0"/>
    <xf numFmtId="0" fontId="1" fillId="0" borderId="1"/>
    <xf numFmtId="0" fontId="1" fillId="0" borderId="1"/>
  </cellStyleXfs>
  <cellXfs count="16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4" fontId="4" fillId="0" borderId="0" xfId="1" applyFont="1"/>
    <xf numFmtId="0" fontId="4" fillId="0" borderId="0" xfId="0" applyFont="1" applyAlignment="1">
      <alignment horizontal="right"/>
    </xf>
    <xf numFmtId="44" fontId="4" fillId="0" borderId="2" xfId="1" applyFont="1" applyBorder="1"/>
    <xf numFmtId="9" fontId="0" fillId="0" borderId="0" xfId="4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4" fontId="8" fillId="0" borderId="2" xfId="0" applyNumberFormat="1" applyFont="1" applyBorder="1"/>
    <xf numFmtId="0" fontId="9" fillId="0" borderId="0" xfId="0" applyFont="1" applyAlignment="1">
      <alignment horizontal="center"/>
    </xf>
    <xf numFmtId="44" fontId="9" fillId="0" borderId="2" xfId="1" applyFont="1" applyBorder="1" applyAlignment="1">
      <alignment horizontal="center"/>
    </xf>
    <xf numFmtId="44" fontId="9" fillId="0" borderId="2" xfId="0" applyNumberFormat="1" applyFont="1" applyBorder="1"/>
    <xf numFmtId="44" fontId="8" fillId="0" borderId="2" xfId="1" applyFont="1" applyBorder="1" applyAlignment="1">
      <alignment horizontal="center"/>
    </xf>
    <xf numFmtId="0" fontId="8" fillId="0" borderId="0" xfId="0" applyFont="1" applyAlignment="1">
      <alignment horizontal="center"/>
    </xf>
    <xf numFmtId="44" fontId="9" fillId="0" borderId="2" xfId="1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/>
    </xf>
    <xf numFmtId="44" fontId="6" fillId="0" borderId="0" xfId="1" applyFont="1" applyAlignment="1">
      <alignment horizontal="center" vertical="center"/>
    </xf>
    <xf numFmtId="44" fontId="6" fillId="0" borderId="0" xfId="1" applyFont="1"/>
    <xf numFmtId="9" fontId="6" fillId="0" borderId="0" xfId="4" applyFont="1"/>
    <xf numFmtId="44" fontId="0" fillId="3" borderId="1" xfId="1" applyFont="1" applyFill="1" applyBorder="1"/>
    <xf numFmtId="165" fontId="0" fillId="0" borderId="0" xfId="0" applyNumberFormat="1"/>
    <xf numFmtId="0" fontId="0" fillId="4" borderId="0" xfId="0" applyFill="1"/>
    <xf numFmtId="165" fontId="0" fillId="4" borderId="0" xfId="0" applyNumberFormat="1" applyFill="1"/>
    <xf numFmtId="4" fontId="0" fillId="0" borderId="0" xfId="0" applyNumberFormat="1"/>
    <xf numFmtId="4" fontId="0" fillId="0" borderId="1" xfId="0" applyNumberFormat="1" applyFill="1" applyBorder="1"/>
    <xf numFmtId="44" fontId="0" fillId="0" borderId="1" xfId="0" applyNumberFormat="1" applyBorder="1"/>
    <xf numFmtId="164" fontId="0" fillId="0" borderId="1" xfId="4" applyNumberFormat="1" applyFont="1" applyBorder="1"/>
    <xf numFmtId="0" fontId="0" fillId="0" borderId="1" xfId="0" applyBorder="1"/>
    <xf numFmtId="44" fontId="4" fillId="0" borderId="1" xfId="1" applyFont="1" applyBorder="1"/>
    <xf numFmtId="44" fontId="10" fillId="0" borderId="2" xfId="1" applyFont="1" applyBorder="1"/>
    <xf numFmtId="0" fontId="10" fillId="0" borderId="0" xfId="0" applyFont="1" applyAlignment="1">
      <alignment horizontal="right"/>
    </xf>
    <xf numFmtId="44" fontId="10" fillId="0" borderId="1" xfId="1" applyFont="1" applyBorder="1"/>
    <xf numFmtId="44" fontId="0" fillId="0" borderId="2" xfId="1" applyFont="1" applyFill="1" applyBorder="1"/>
    <xf numFmtId="44" fontId="0" fillId="0" borderId="1" xfId="0" applyNumberFormat="1" applyFill="1" applyBorder="1"/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/>
    <xf numFmtId="44" fontId="0" fillId="4" borderId="2" xfId="1" applyFont="1" applyFill="1" applyBorder="1"/>
    <xf numFmtId="44" fontId="4" fillId="0" borderId="3" xfId="1" applyFont="1" applyBorder="1"/>
    <xf numFmtId="44" fontId="4" fillId="0" borderId="11" xfId="1" applyFont="1" applyBorder="1"/>
    <xf numFmtId="44" fontId="4" fillId="0" borderId="4" xfId="1" applyFont="1" applyBorder="1"/>
    <xf numFmtId="44" fontId="4" fillId="0" borderId="12" xfId="1" applyFont="1" applyBorder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0" fillId="5" borderId="1" xfId="1" applyFont="1" applyFill="1" applyBorder="1"/>
    <xf numFmtId="44" fontId="0" fillId="2" borderId="1" xfId="1" applyFont="1" applyFill="1" applyBorder="1"/>
    <xf numFmtId="44" fontId="0" fillId="4" borderId="1" xfId="1" applyFont="1" applyFill="1" applyBorder="1"/>
    <xf numFmtId="44" fontId="4" fillId="0" borderId="11" xfId="1" applyFont="1" applyFill="1" applyBorder="1"/>
    <xf numFmtId="44" fontId="4" fillId="0" borderId="4" xfId="1" applyFont="1" applyFill="1" applyBorder="1"/>
    <xf numFmtId="44" fontId="4" fillId="0" borderId="12" xfId="1" applyFont="1" applyFill="1" applyBorder="1"/>
    <xf numFmtId="0" fontId="11" fillId="0" borderId="0" xfId="0" applyFont="1"/>
    <xf numFmtId="0" fontId="11" fillId="0" borderId="0" xfId="0" applyNumberFormat="1" applyFont="1"/>
    <xf numFmtId="0" fontId="11" fillId="0" borderId="0" xfId="0" applyNumberFormat="1" applyFont="1" applyFill="1"/>
    <xf numFmtId="4" fontId="12" fillId="0" borderId="0" xfId="0" applyNumberFormat="1" applyFont="1"/>
    <xf numFmtId="0" fontId="11" fillId="0" borderId="0" xfId="1" applyNumberFormat="1" applyFont="1"/>
    <xf numFmtId="0" fontId="11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4" fontId="13" fillId="0" borderId="2" xfId="1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right" vertical="center"/>
    </xf>
    <xf numFmtId="2" fontId="13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/>
    </xf>
    <xf numFmtId="4" fontId="13" fillId="0" borderId="2" xfId="5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3" fillId="0" borderId="2" xfId="1" applyNumberFormat="1" applyFont="1" applyFill="1" applyBorder="1" applyAlignment="1">
      <alignment horizontal="right" vertical="center" wrapText="1"/>
    </xf>
    <xf numFmtId="2" fontId="13" fillId="0" borderId="2" xfId="0" applyNumberFormat="1" applyFont="1" applyFill="1" applyBorder="1" applyAlignment="1">
      <alignment horizontal="right" vertical="center"/>
    </xf>
    <xf numFmtId="4" fontId="13" fillId="0" borderId="0" xfId="0" applyNumberFormat="1" applyFont="1" applyFill="1"/>
    <xf numFmtId="0" fontId="13" fillId="0" borderId="14" xfId="0" applyFont="1" applyFill="1" applyBorder="1" applyAlignment="1">
      <alignment horizontal="center" vertical="top" wrapText="1"/>
    </xf>
    <xf numFmtId="0" fontId="13" fillId="0" borderId="14" xfId="0" applyFont="1" applyBorder="1" applyAlignment="1"/>
    <xf numFmtId="0" fontId="13" fillId="0" borderId="3" xfId="0" applyFont="1" applyBorder="1" applyAlignment="1"/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Fill="1"/>
    <xf numFmtId="0" fontId="19" fillId="0" borderId="0" xfId="0" applyFont="1" applyFill="1"/>
    <xf numFmtId="0" fontId="2" fillId="0" borderId="0" xfId="0" applyFont="1" applyFill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4" fontId="13" fillId="6" borderId="2" xfId="1" applyNumberFormat="1" applyFont="1" applyFill="1" applyBorder="1" applyAlignment="1">
      <alignment horizontal="right" vertical="center"/>
    </xf>
    <xf numFmtId="2" fontId="13" fillId="6" borderId="2" xfId="0" applyNumberFormat="1" applyFont="1" applyFill="1" applyBorder="1" applyAlignment="1">
      <alignment horizontal="right" vertical="center"/>
    </xf>
    <xf numFmtId="4" fontId="13" fillId="6" borderId="2" xfId="1" applyNumberFormat="1" applyFont="1" applyFill="1" applyBorder="1" applyAlignment="1">
      <alignment vertical="center"/>
    </xf>
    <xf numFmtId="0" fontId="13" fillId="6" borderId="2" xfId="0" quotePrefix="1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 wrapText="1"/>
    </xf>
    <xf numFmtId="4" fontId="11" fillId="6" borderId="0" xfId="0" applyNumberFormat="1" applyFont="1" applyFill="1"/>
    <xf numFmtId="1" fontId="13" fillId="7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horizontal="center" vertical="center" wrapText="1"/>
    </xf>
    <xf numFmtId="4" fontId="13" fillId="7" borderId="2" xfId="1" applyNumberFormat="1" applyFont="1" applyFill="1" applyBorder="1" applyAlignment="1">
      <alignment horizontal="right" vertical="center"/>
    </xf>
    <xf numFmtId="4" fontId="2" fillId="7" borderId="2" xfId="10" applyNumberFormat="1" applyFont="1" applyFill="1" applyBorder="1" applyAlignment="1">
      <alignment horizontal="right" vertical="center"/>
    </xf>
    <xf numFmtId="0" fontId="13" fillId="0" borderId="2" xfId="0" quotePrefix="1" applyFont="1" applyFill="1" applyBorder="1" applyAlignment="1">
      <alignment horizontal="left" vertical="top" wrapText="1"/>
    </xf>
    <xf numFmtId="1" fontId="13" fillId="7" borderId="2" xfId="0" quotePrefix="1" applyNumberFormat="1" applyFon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6" borderId="13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 wrapText="1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16" xfId="0" quotePrefix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0" xfId="0" quotePrefix="1" applyFont="1" applyFill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Border="1" applyAlignment="1"/>
    <xf numFmtId="49" fontId="14" fillId="0" borderId="13" xfId="0" quotePrefix="1" applyNumberFormat="1" applyFont="1" applyFill="1" applyBorder="1" applyAlignment="1">
      <alignment horizontal="left" vertical="top" wrapText="1"/>
    </xf>
    <xf numFmtId="49" fontId="14" fillId="0" borderId="1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7" borderId="2" xfId="0" quotePrefix="1" applyFont="1" applyFill="1" applyBorder="1" applyAlignment="1">
      <alignment horizontal="center" vertical="center" wrapText="1"/>
    </xf>
    <xf numFmtId="0" fontId="13" fillId="7" borderId="2" xfId="0" quotePrefix="1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2" fontId="13" fillId="7" borderId="2" xfId="0" applyNumberFormat="1" applyFont="1" applyFill="1" applyBorder="1" applyAlignment="1">
      <alignment horizontal="right" vertical="center"/>
    </xf>
    <xf numFmtId="4" fontId="13" fillId="7" borderId="2" xfId="1" applyNumberFormat="1" applyFont="1" applyFill="1" applyBorder="1" applyAlignment="1">
      <alignment vertical="center"/>
    </xf>
  </cellXfs>
  <cellStyles count="14">
    <cellStyle name="Normalny" xfId="0" builtinId="0"/>
    <cellStyle name="Normalny 2" xfId="2"/>
    <cellStyle name="Normalny 2 2" xfId="8"/>
    <cellStyle name="Normalny 3" xfId="7"/>
    <cellStyle name="Normalny 4" xfId="6"/>
    <cellStyle name="Normalny 4 2" xfId="12"/>
    <cellStyle name="Normalny 5" xfId="9"/>
    <cellStyle name="Normalny 5 2" xfId="13"/>
    <cellStyle name="Procentowy" xfId="4" builtinId="5"/>
    <cellStyle name="Procentowy 2" xfId="11"/>
    <cellStyle name="Walutowy" xfId="1" builtinId="4"/>
    <cellStyle name="Walutowy 2" xfId="3"/>
    <cellStyle name="Walutowy 2 2" xfId="10"/>
    <cellStyle name="Walutow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97"/>
  <sheetViews>
    <sheetView tabSelected="1" view="pageBreakPreview" topLeftCell="A77" zoomScaleNormal="100" zoomScaleSheetLayoutView="100" workbookViewId="0">
      <selection activeCell="G95" sqref="G95"/>
    </sheetView>
  </sheetViews>
  <sheetFormatPr defaultColWidth="6" defaultRowHeight="12.75" x14ac:dyDescent="0.2"/>
  <cols>
    <col min="1" max="1" width="8.5703125" style="100" customWidth="1"/>
    <col min="2" max="2" width="11.140625" style="95" customWidth="1"/>
    <col min="3" max="3" width="39.7109375" style="96" customWidth="1"/>
    <col min="4" max="4" width="6" style="60"/>
    <col min="5" max="5" width="13.85546875" style="57" customWidth="1"/>
    <col min="6" max="6" width="14.140625" style="56" customWidth="1"/>
    <col min="7" max="7" width="14.7109375" style="56" customWidth="1"/>
    <col min="8" max="8" width="10.7109375" style="56" customWidth="1"/>
    <col min="9" max="9" width="10.7109375" style="55" customWidth="1"/>
    <col min="10" max="11" width="6" style="55"/>
    <col min="12" max="12" width="25.7109375" style="55" customWidth="1"/>
    <col min="13" max="16384" width="6" style="55"/>
  </cols>
  <sheetData>
    <row r="1" spans="1:7" ht="36" customHeight="1" x14ac:dyDescent="0.2">
      <c r="A1" s="127" t="s">
        <v>186</v>
      </c>
      <c r="B1" s="128"/>
      <c r="C1" s="128"/>
      <c r="D1" s="128"/>
      <c r="E1" s="128"/>
      <c r="F1" s="128"/>
    </row>
    <row r="2" spans="1:7" ht="55.5" customHeight="1" x14ac:dyDescent="0.2">
      <c r="A2" s="134" t="s">
        <v>172</v>
      </c>
      <c r="B2" s="135"/>
      <c r="C2" s="135"/>
      <c r="D2" s="135"/>
      <c r="E2" s="135"/>
      <c r="F2" s="136"/>
      <c r="G2" s="136"/>
    </row>
    <row r="3" spans="1:7" ht="17.25" customHeight="1" x14ac:dyDescent="0.2">
      <c r="A3" s="137" t="s">
        <v>169</v>
      </c>
      <c r="B3" s="138"/>
      <c r="C3" s="138"/>
      <c r="D3" s="85"/>
      <c r="E3" s="85"/>
      <c r="F3" s="86"/>
      <c r="G3" s="87"/>
    </row>
    <row r="4" spans="1:7" ht="53.25" customHeight="1" x14ac:dyDescent="0.2">
      <c r="A4" s="74" t="s">
        <v>0</v>
      </c>
      <c r="B4" s="88" t="s">
        <v>1</v>
      </c>
      <c r="C4" s="64" t="s">
        <v>2</v>
      </c>
      <c r="D4" s="63" t="s">
        <v>3</v>
      </c>
      <c r="E4" s="65" t="s">
        <v>112</v>
      </c>
      <c r="F4" s="65" t="s">
        <v>165</v>
      </c>
      <c r="G4" s="65" t="s">
        <v>166</v>
      </c>
    </row>
    <row r="5" spans="1:7" ht="26.25" customHeight="1" x14ac:dyDescent="0.2">
      <c r="A5" s="66" t="s">
        <v>4</v>
      </c>
      <c r="B5" s="89" t="s">
        <v>153</v>
      </c>
      <c r="C5" s="67" t="s">
        <v>152</v>
      </c>
      <c r="D5" s="63"/>
      <c r="E5" s="65"/>
      <c r="F5" s="65"/>
      <c r="G5" s="65"/>
    </row>
    <row r="6" spans="1:7" ht="47.25" customHeight="1" x14ac:dyDescent="0.2">
      <c r="A6" s="74">
        <v>1</v>
      </c>
      <c r="B6" s="90" t="s">
        <v>154</v>
      </c>
      <c r="C6" s="64" t="s">
        <v>155</v>
      </c>
      <c r="D6" s="63" t="s">
        <v>143</v>
      </c>
      <c r="E6" s="68">
        <v>1</v>
      </c>
      <c r="F6" s="68"/>
      <c r="G6" s="68"/>
    </row>
    <row r="7" spans="1:7" ht="25.5" x14ac:dyDescent="0.2">
      <c r="A7" s="66" t="s">
        <v>4</v>
      </c>
      <c r="B7" s="89" t="s">
        <v>5</v>
      </c>
      <c r="C7" s="67" t="s">
        <v>6</v>
      </c>
      <c r="D7" s="69"/>
      <c r="E7" s="70"/>
      <c r="F7" s="70"/>
      <c r="G7" s="70"/>
    </row>
    <row r="8" spans="1:7" ht="25.5" x14ac:dyDescent="0.2">
      <c r="A8" s="66"/>
      <c r="B8" s="91" t="s">
        <v>102</v>
      </c>
      <c r="C8" s="67" t="s">
        <v>7</v>
      </c>
      <c r="D8" s="72"/>
      <c r="E8" s="70"/>
      <c r="F8" s="70"/>
      <c r="G8" s="70"/>
    </row>
    <row r="9" spans="1:7" ht="43.5" customHeight="1" x14ac:dyDescent="0.2">
      <c r="A9" s="97">
        <v>2</v>
      </c>
      <c r="B9" s="92" t="s">
        <v>102</v>
      </c>
      <c r="C9" s="116" t="s">
        <v>189</v>
      </c>
      <c r="D9" s="74" t="s">
        <v>45</v>
      </c>
      <c r="E9" s="68">
        <v>0.99</v>
      </c>
      <c r="F9" s="68"/>
      <c r="G9" s="68"/>
    </row>
    <row r="10" spans="1:7" ht="15.75" customHeight="1" x14ac:dyDescent="0.2">
      <c r="A10" s="66"/>
      <c r="B10" s="91" t="s">
        <v>162</v>
      </c>
      <c r="C10" s="67" t="s">
        <v>163</v>
      </c>
      <c r="D10" s="72"/>
      <c r="E10" s="70"/>
      <c r="F10" s="70"/>
      <c r="G10" s="70"/>
    </row>
    <row r="11" spans="1:7" ht="45" customHeight="1" x14ac:dyDescent="0.2">
      <c r="A11" s="97">
        <v>3</v>
      </c>
      <c r="B11" s="92" t="s">
        <v>102</v>
      </c>
      <c r="C11" s="64" t="s">
        <v>164</v>
      </c>
      <c r="D11" s="74" t="s">
        <v>144</v>
      </c>
      <c r="E11" s="68">
        <v>9</v>
      </c>
      <c r="F11" s="68"/>
      <c r="G11" s="68"/>
    </row>
    <row r="12" spans="1:7" ht="14.25" customHeight="1" x14ac:dyDescent="0.2">
      <c r="A12" s="66"/>
      <c r="B12" s="91" t="s">
        <v>8</v>
      </c>
      <c r="C12" s="67" t="s">
        <v>9</v>
      </c>
      <c r="D12" s="72"/>
      <c r="E12" s="70"/>
      <c r="F12" s="70"/>
      <c r="G12" s="70"/>
    </row>
    <row r="13" spans="1:7" ht="33" customHeight="1" x14ac:dyDescent="0.2">
      <c r="A13" s="97">
        <v>4</v>
      </c>
      <c r="B13" s="90" t="s">
        <v>8</v>
      </c>
      <c r="C13" s="64" t="s">
        <v>126</v>
      </c>
      <c r="D13" s="74" t="s">
        <v>167</v>
      </c>
      <c r="E13" s="75">
        <v>3350</v>
      </c>
      <c r="F13" s="76"/>
      <c r="G13" s="68"/>
    </row>
    <row r="14" spans="1:7" ht="15.75" customHeight="1" x14ac:dyDescent="0.2">
      <c r="A14" s="66"/>
      <c r="B14" s="91" t="s">
        <v>10</v>
      </c>
      <c r="C14" s="67" t="s">
        <v>11</v>
      </c>
      <c r="D14" s="72"/>
      <c r="E14" s="77"/>
      <c r="F14" s="77"/>
      <c r="G14" s="77"/>
    </row>
    <row r="15" spans="1:7" ht="30.75" customHeight="1" x14ac:dyDescent="0.2">
      <c r="A15" s="97">
        <v>5</v>
      </c>
      <c r="B15" s="90" t="s">
        <v>10</v>
      </c>
      <c r="C15" s="64" t="s">
        <v>158</v>
      </c>
      <c r="D15" s="74" t="s">
        <v>167</v>
      </c>
      <c r="E15" s="75">
        <v>5845.62</v>
      </c>
      <c r="F15" s="76"/>
      <c r="G15" s="68"/>
    </row>
    <row r="16" spans="1:7" ht="23.25" customHeight="1" x14ac:dyDescent="0.2">
      <c r="A16" s="97">
        <v>6</v>
      </c>
      <c r="B16" s="90" t="s">
        <v>10</v>
      </c>
      <c r="C16" s="64" t="s">
        <v>125</v>
      </c>
      <c r="D16" s="74" t="s">
        <v>167</v>
      </c>
      <c r="E16" s="75">
        <v>84</v>
      </c>
      <c r="F16" s="76"/>
      <c r="G16" s="68"/>
    </row>
    <row r="17" spans="1:7" ht="33" customHeight="1" x14ac:dyDescent="0.2">
      <c r="A17" s="97">
        <v>7</v>
      </c>
      <c r="B17" s="90" t="s">
        <v>10</v>
      </c>
      <c r="C17" s="64" t="s">
        <v>105</v>
      </c>
      <c r="D17" s="74" t="s">
        <v>42</v>
      </c>
      <c r="E17" s="75">
        <v>26</v>
      </c>
      <c r="F17" s="76"/>
      <c r="G17" s="68"/>
    </row>
    <row r="18" spans="1:7" ht="30" customHeight="1" x14ac:dyDescent="0.2">
      <c r="A18" s="97">
        <v>8</v>
      </c>
      <c r="B18" s="90" t="s">
        <v>10</v>
      </c>
      <c r="C18" s="64" t="s">
        <v>124</v>
      </c>
      <c r="D18" s="74" t="s">
        <v>168</v>
      </c>
      <c r="E18" s="75">
        <f>33*0.25*0.5</f>
        <v>4.125</v>
      </c>
      <c r="F18" s="76"/>
      <c r="G18" s="68"/>
    </row>
    <row r="19" spans="1:7" ht="27" customHeight="1" x14ac:dyDescent="0.2">
      <c r="A19" s="97">
        <v>9</v>
      </c>
      <c r="B19" s="90" t="s">
        <v>10</v>
      </c>
      <c r="C19" s="64" t="s">
        <v>151</v>
      </c>
      <c r="D19" s="74" t="s">
        <v>144</v>
      </c>
      <c r="E19" s="75">
        <v>4</v>
      </c>
      <c r="F19" s="75"/>
      <c r="G19" s="68"/>
    </row>
    <row r="20" spans="1:7" ht="27" customHeight="1" x14ac:dyDescent="0.2">
      <c r="A20" s="66" t="s">
        <v>4</v>
      </c>
      <c r="B20" s="89" t="s">
        <v>12</v>
      </c>
      <c r="C20" s="67" t="s">
        <v>13</v>
      </c>
      <c r="D20" s="69"/>
      <c r="E20" s="77"/>
      <c r="F20" s="77"/>
      <c r="G20" s="77"/>
    </row>
    <row r="21" spans="1:7" x14ac:dyDescent="0.2">
      <c r="A21" s="66"/>
      <c r="B21" s="91" t="s">
        <v>14</v>
      </c>
      <c r="C21" s="67" t="s">
        <v>15</v>
      </c>
      <c r="D21" s="72"/>
      <c r="E21" s="77"/>
      <c r="F21" s="77"/>
      <c r="G21" s="77"/>
    </row>
    <row r="22" spans="1:7" ht="20.25" customHeight="1" x14ac:dyDescent="0.2">
      <c r="A22" s="74">
        <v>10</v>
      </c>
      <c r="B22" s="90" t="s">
        <v>14</v>
      </c>
      <c r="C22" s="64" t="s">
        <v>100</v>
      </c>
      <c r="D22" s="74" t="s">
        <v>168</v>
      </c>
      <c r="E22" s="75">
        <v>4593.8500000000004</v>
      </c>
      <c r="F22" s="76"/>
      <c r="G22" s="68"/>
    </row>
    <row r="23" spans="1:7" x14ac:dyDescent="0.2">
      <c r="A23" s="66"/>
      <c r="B23" s="91" t="s">
        <v>16</v>
      </c>
      <c r="C23" s="67" t="s">
        <v>17</v>
      </c>
      <c r="D23" s="72"/>
      <c r="E23" s="78"/>
      <c r="F23" s="78"/>
      <c r="G23" s="78"/>
    </row>
    <row r="24" spans="1:7" ht="14.25" x14ac:dyDescent="0.2">
      <c r="A24" s="97">
        <v>11</v>
      </c>
      <c r="B24" s="90" t="s">
        <v>16</v>
      </c>
      <c r="C24" s="64" t="s">
        <v>17</v>
      </c>
      <c r="D24" s="74" t="s">
        <v>168</v>
      </c>
      <c r="E24" s="79">
        <v>3218.31</v>
      </c>
      <c r="F24" s="76"/>
      <c r="G24" s="68"/>
    </row>
    <row r="25" spans="1:7" ht="50.25" customHeight="1" x14ac:dyDescent="0.2">
      <c r="A25" s="66" t="s">
        <v>4</v>
      </c>
      <c r="B25" s="89" t="s">
        <v>129</v>
      </c>
      <c r="C25" s="67" t="s">
        <v>130</v>
      </c>
      <c r="D25" s="69"/>
      <c r="E25" s="70"/>
      <c r="F25" s="70"/>
      <c r="G25" s="70"/>
    </row>
    <row r="26" spans="1:7" x14ac:dyDescent="0.2">
      <c r="A26" s="98"/>
      <c r="B26" s="89" t="s">
        <v>131</v>
      </c>
      <c r="C26" s="67" t="s">
        <v>132</v>
      </c>
      <c r="D26" s="80"/>
      <c r="E26" s="81"/>
      <c r="F26" s="81"/>
      <c r="G26" s="81"/>
    </row>
    <row r="27" spans="1:7" ht="35.25" customHeight="1" x14ac:dyDescent="0.2">
      <c r="A27" s="97">
        <v>12</v>
      </c>
      <c r="B27" s="90" t="s">
        <v>131</v>
      </c>
      <c r="C27" s="64" t="s">
        <v>157</v>
      </c>
      <c r="D27" s="74" t="s">
        <v>45</v>
      </c>
      <c r="E27" s="75">
        <v>0.8</v>
      </c>
      <c r="F27" s="75"/>
      <c r="G27" s="75"/>
    </row>
    <row r="28" spans="1:7" ht="48" customHeight="1" x14ac:dyDescent="0.2">
      <c r="A28" s="97">
        <v>13</v>
      </c>
      <c r="B28" s="90" t="s">
        <v>131</v>
      </c>
      <c r="C28" s="64" t="s">
        <v>173</v>
      </c>
      <c r="D28" s="74" t="s">
        <v>168</v>
      </c>
      <c r="E28" s="75">
        <v>850</v>
      </c>
      <c r="F28" s="75"/>
      <c r="G28" s="75"/>
    </row>
    <row r="29" spans="1:7" ht="18.75" customHeight="1" x14ac:dyDescent="0.2">
      <c r="A29" s="97">
        <v>14</v>
      </c>
      <c r="B29" s="90" t="s">
        <v>131</v>
      </c>
      <c r="C29" s="64" t="s">
        <v>133</v>
      </c>
      <c r="D29" s="74" t="s">
        <v>134</v>
      </c>
      <c r="E29" s="75">
        <v>8</v>
      </c>
      <c r="F29" s="75"/>
      <c r="G29" s="75"/>
    </row>
    <row r="30" spans="1:7" ht="31.5" customHeight="1" x14ac:dyDescent="0.2">
      <c r="A30" s="97">
        <v>15</v>
      </c>
      <c r="B30" s="90" t="s">
        <v>131</v>
      </c>
      <c r="C30" s="64" t="s">
        <v>135</v>
      </c>
      <c r="D30" s="74" t="s">
        <v>134</v>
      </c>
      <c r="E30" s="75">
        <v>772.5</v>
      </c>
      <c r="F30" s="75"/>
      <c r="G30" s="75"/>
    </row>
    <row r="31" spans="1:7" ht="29.25" customHeight="1" x14ac:dyDescent="0.2">
      <c r="A31" s="97">
        <v>16</v>
      </c>
      <c r="B31" s="90" t="s">
        <v>131</v>
      </c>
      <c r="C31" s="64" t="s">
        <v>136</v>
      </c>
      <c r="D31" s="74" t="s">
        <v>143</v>
      </c>
      <c r="E31" s="75">
        <v>2</v>
      </c>
      <c r="F31" s="75"/>
      <c r="G31" s="75"/>
    </row>
    <row r="32" spans="1:7" ht="47.25" customHeight="1" x14ac:dyDescent="0.2">
      <c r="A32" s="117" t="s">
        <v>191</v>
      </c>
      <c r="B32" s="111" t="s">
        <v>131</v>
      </c>
      <c r="C32" s="112" t="s">
        <v>170</v>
      </c>
      <c r="D32" s="113" t="s">
        <v>143</v>
      </c>
      <c r="E32" s="114">
        <v>38</v>
      </c>
      <c r="F32" s="115"/>
      <c r="G32" s="114"/>
    </row>
    <row r="33" spans="1:7" ht="42" customHeight="1" x14ac:dyDescent="0.2">
      <c r="A33" s="101" t="s">
        <v>175</v>
      </c>
      <c r="B33" s="102" t="s">
        <v>187</v>
      </c>
      <c r="C33" s="107" t="s">
        <v>199</v>
      </c>
      <c r="D33" s="108" t="s">
        <v>144</v>
      </c>
      <c r="E33" s="104">
        <v>15</v>
      </c>
      <c r="F33" s="109"/>
      <c r="G33" s="104"/>
    </row>
    <row r="34" spans="1:7" ht="23.25" customHeight="1" x14ac:dyDescent="0.2">
      <c r="A34" s="97">
        <v>18</v>
      </c>
      <c r="B34" s="90" t="s">
        <v>131</v>
      </c>
      <c r="C34" s="64" t="s">
        <v>137</v>
      </c>
      <c r="D34" s="74" t="s">
        <v>144</v>
      </c>
      <c r="E34" s="75">
        <v>2</v>
      </c>
      <c r="F34" s="75"/>
      <c r="G34" s="75"/>
    </row>
    <row r="35" spans="1:7" ht="29.25" customHeight="1" x14ac:dyDescent="0.2">
      <c r="A35" s="97">
        <v>19</v>
      </c>
      <c r="B35" s="90" t="s">
        <v>131</v>
      </c>
      <c r="C35" s="64" t="s">
        <v>138</v>
      </c>
      <c r="D35" s="74" t="s">
        <v>144</v>
      </c>
      <c r="E35" s="75">
        <v>1</v>
      </c>
      <c r="F35" s="75"/>
      <c r="G35" s="75"/>
    </row>
    <row r="36" spans="1:7" ht="40.5" customHeight="1" x14ac:dyDescent="0.2">
      <c r="A36" s="110" t="s">
        <v>174</v>
      </c>
      <c r="B36" s="111" t="s">
        <v>131</v>
      </c>
      <c r="C36" s="112" t="s">
        <v>171</v>
      </c>
      <c r="D36" s="113" t="s">
        <v>144</v>
      </c>
      <c r="E36" s="114">
        <v>38</v>
      </c>
      <c r="F36" s="114"/>
      <c r="G36" s="114"/>
    </row>
    <row r="37" spans="1:7" ht="30.75" customHeight="1" x14ac:dyDescent="0.2">
      <c r="A37" s="101" t="s">
        <v>176</v>
      </c>
      <c r="B37" s="102" t="s">
        <v>188</v>
      </c>
      <c r="C37" s="107" t="s">
        <v>200</v>
      </c>
      <c r="D37" s="108" t="s">
        <v>42</v>
      </c>
      <c r="E37" s="104">
        <v>788</v>
      </c>
      <c r="F37" s="104"/>
      <c r="G37" s="104"/>
    </row>
    <row r="38" spans="1:7" ht="21.75" customHeight="1" x14ac:dyDescent="0.2">
      <c r="A38" s="97">
        <v>21</v>
      </c>
      <c r="B38" s="90" t="s">
        <v>131</v>
      </c>
      <c r="C38" s="64" t="s">
        <v>139</v>
      </c>
      <c r="D38" s="74" t="s">
        <v>167</v>
      </c>
      <c r="E38" s="75">
        <v>1320</v>
      </c>
      <c r="F38" s="75"/>
      <c r="G38" s="75"/>
    </row>
    <row r="39" spans="1:7" ht="26.25" customHeight="1" x14ac:dyDescent="0.2">
      <c r="A39" s="97">
        <v>22</v>
      </c>
      <c r="B39" s="90" t="s">
        <v>131</v>
      </c>
      <c r="C39" s="64" t="s">
        <v>140</v>
      </c>
      <c r="D39" s="74" t="s">
        <v>167</v>
      </c>
      <c r="E39" s="75">
        <v>1.5</v>
      </c>
      <c r="F39" s="75"/>
      <c r="G39" s="75"/>
    </row>
    <row r="40" spans="1:7" ht="32.25" customHeight="1" x14ac:dyDescent="0.2">
      <c r="A40" s="97">
        <v>23</v>
      </c>
      <c r="B40" s="90" t="s">
        <v>131</v>
      </c>
      <c r="C40" s="64" t="s">
        <v>141</v>
      </c>
      <c r="D40" s="74" t="s">
        <v>168</v>
      </c>
      <c r="E40" s="75">
        <v>115</v>
      </c>
      <c r="F40" s="75"/>
      <c r="G40" s="75"/>
    </row>
    <row r="41" spans="1:7" x14ac:dyDescent="0.2">
      <c r="A41" s="97">
        <v>24</v>
      </c>
      <c r="B41" s="90" t="s">
        <v>131</v>
      </c>
      <c r="C41" s="64" t="s">
        <v>142</v>
      </c>
      <c r="D41" s="74" t="s">
        <v>144</v>
      </c>
      <c r="E41" s="75">
        <v>386</v>
      </c>
      <c r="F41" s="75"/>
      <c r="G41" s="75"/>
    </row>
    <row r="42" spans="1:7" ht="50.25" customHeight="1" x14ac:dyDescent="0.2">
      <c r="A42" s="66" t="s">
        <v>4</v>
      </c>
      <c r="B42" s="89" t="s">
        <v>18</v>
      </c>
      <c r="C42" s="67" t="s">
        <v>19</v>
      </c>
      <c r="D42" s="69"/>
      <c r="E42" s="70"/>
      <c r="F42" s="70"/>
      <c r="G42" s="70"/>
    </row>
    <row r="43" spans="1:7" ht="25.5" x14ac:dyDescent="0.2">
      <c r="A43" s="98"/>
      <c r="B43" s="89" t="s">
        <v>110</v>
      </c>
      <c r="C43" s="67" t="s">
        <v>111</v>
      </c>
      <c r="D43" s="80"/>
      <c r="E43" s="81"/>
      <c r="F43" s="81"/>
      <c r="G43" s="81"/>
    </row>
    <row r="44" spans="1:7" ht="48" customHeight="1" x14ac:dyDescent="0.2">
      <c r="A44" s="97">
        <v>25</v>
      </c>
      <c r="B44" s="90" t="s">
        <v>110</v>
      </c>
      <c r="C44" s="64" t="s">
        <v>123</v>
      </c>
      <c r="D44" s="74" t="s">
        <v>167</v>
      </c>
      <c r="E44" s="79">
        <f>E51</f>
        <v>6132.17</v>
      </c>
      <c r="F44" s="76"/>
      <c r="G44" s="68"/>
    </row>
    <row r="45" spans="1:7" ht="25.5" x14ac:dyDescent="0.2">
      <c r="A45" s="66"/>
      <c r="B45" s="91" t="s">
        <v>20</v>
      </c>
      <c r="C45" s="67" t="s">
        <v>21</v>
      </c>
      <c r="D45" s="72"/>
      <c r="E45" s="77"/>
      <c r="F45" s="77"/>
      <c r="G45" s="77"/>
    </row>
    <row r="46" spans="1:7" ht="24.75" customHeight="1" x14ac:dyDescent="0.2">
      <c r="A46" s="97">
        <v>26</v>
      </c>
      <c r="B46" s="90" t="s">
        <v>20</v>
      </c>
      <c r="C46" s="64" t="s">
        <v>106</v>
      </c>
      <c r="D46" s="74" t="s">
        <v>167</v>
      </c>
      <c r="E46" s="75">
        <f>E50</f>
        <v>5845.62</v>
      </c>
      <c r="F46" s="76"/>
      <c r="G46" s="68"/>
    </row>
    <row r="47" spans="1:7" ht="25.5" customHeight="1" x14ac:dyDescent="0.2">
      <c r="A47" s="97">
        <v>27</v>
      </c>
      <c r="B47" s="90" t="s">
        <v>20</v>
      </c>
      <c r="C47" s="64" t="s">
        <v>107</v>
      </c>
      <c r="D47" s="74" t="s">
        <v>167</v>
      </c>
      <c r="E47" s="75">
        <f>E51</f>
        <v>6132.17</v>
      </c>
      <c r="F47" s="76"/>
      <c r="G47" s="68"/>
    </row>
    <row r="48" spans="1:7" ht="25.5" x14ac:dyDescent="0.2">
      <c r="A48" s="66"/>
      <c r="B48" s="92"/>
      <c r="C48" s="67" t="s">
        <v>122</v>
      </c>
      <c r="D48" s="72"/>
      <c r="E48" s="77"/>
      <c r="F48" s="77"/>
      <c r="G48" s="77"/>
    </row>
    <row r="49" spans="1:9" ht="36" customHeight="1" x14ac:dyDescent="0.2">
      <c r="A49" s="74">
        <v>28</v>
      </c>
      <c r="B49" s="92" t="s">
        <v>104</v>
      </c>
      <c r="C49" s="64" t="s">
        <v>121</v>
      </c>
      <c r="D49" s="74" t="s">
        <v>167</v>
      </c>
      <c r="E49" s="75">
        <v>5731</v>
      </c>
      <c r="F49" s="76"/>
      <c r="G49" s="68"/>
    </row>
    <row r="50" spans="1:9" ht="33" customHeight="1" x14ac:dyDescent="0.2">
      <c r="A50" s="74">
        <v>29</v>
      </c>
      <c r="B50" s="92" t="s">
        <v>104</v>
      </c>
      <c r="C50" s="64" t="s">
        <v>120</v>
      </c>
      <c r="D50" s="74" t="s">
        <v>167</v>
      </c>
      <c r="E50" s="75">
        <f>E49*1.02</f>
        <v>5845.62</v>
      </c>
      <c r="F50" s="76"/>
      <c r="G50" s="68"/>
    </row>
    <row r="51" spans="1:9" ht="43.5" customHeight="1" x14ac:dyDescent="0.2">
      <c r="A51" s="74">
        <v>30</v>
      </c>
      <c r="B51" s="93" t="s">
        <v>22</v>
      </c>
      <c r="C51" s="64" t="s">
        <v>116</v>
      </c>
      <c r="D51" s="74" t="s">
        <v>167</v>
      </c>
      <c r="E51" s="75">
        <f>E49*1.07</f>
        <v>6132.17</v>
      </c>
      <c r="F51" s="76"/>
      <c r="G51" s="68"/>
      <c r="I51" s="58"/>
    </row>
    <row r="52" spans="1:9" ht="30.75" customHeight="1" x14ac:dyDescent="0.2">
      <c r="A52" s="66"/>
      <c r="B52" s="90"/>
      <c r="C52" s="67" t="s">
        <v>127</v>
      </c>
      <c r="D52" s="69"/>
      <c r="E52" s="77"/>
      <c r="F52" s="77"/>
      <c r="G52" s="77"/>
      <c r="H52" s="59"/>
    </row>
    <row r="53" spans="1:9" ht="27" customHeight="1" x14ac:dyDescent="0.2">
      <c r="A53" s="97">
        <v>31</v>
      </c>
      <c r="B53" s="90" t="s">
        <v>23</v>
      </c>
      <c r="C53" s="64" t="s">
        <v>115</v>
      </c>
      <c r="D53" s="74" t="s">
        <v>167</v>
      </c>
      <c r="E53" s="75">
        <v>140</v>
      </c>
      <c r="F53" s="76"/>
      <c r="G53" s="68"/>
      <c r="H53" s="59"/>
    </row>
    <row r="54" spans="1:9" ht="39.75" customHeight="1" x14ac:dyDescent="0.2">
      <c r="A54" s="97">
        <v>32</v>
      </c>
      <c r="B54" s="93" t="s">
        <v>22</v>
      </c>
      <c r="C54" s="64" t="s">
        <v>116</v>
      </c>
      <c r="D54" s="74" t="s">
        <v>167</v>
      </c>
      <c r="E54" s="75">
        <f>E53*1.02</f>
        <v>142.80000000000001</v>
      </c>
      <c r="F54" s="76"/>
      <c r="G54" s="68"/>
      <c r="H54" s="59"/>
    </row>
    <row r="55" spans="1:9" ht="33" customHeight="1" x14ac:dyDescent="0.2">
      <c r="A55" s="66"/>
      <c r="B55" s="90"/>
      <c r="C55" s="67" t="s">
        <v>119</v>
      </c>
      <c r="D55" s="72"/>
      <c r="E55" s="77"/>
      <c r="F55" s="77"/>
      <c r="G55" s="77"/>
    </row>
    <row r="56" spans="1:9" ht="42.75" customHeight="1" x14ac:dyDescent="0.2">
      <c r="A56" s="97">
        <v>33</v>
      </c>
      <c r="B56" s="90" t="s">
        <v>26</v>
      </c>
      <c r="C56" s="64" t="s">
        <v>117</v>
      </c>
      <c r="D56" s="74" t="s">
        <v>167</v>
      </c>
      <c r="E56" s="82">
        <v>263</v>
      </c>
      <c r="F56" s="76"/>
      <c r="G56" s="68"/>
    </row>
    <row r="57" spans="1:9" ht="44.25" customHeight="1" x14ac:dyDescent="0.2">
      <c r="A57" s="97">
        <v>34</v>
      </c>
      <c r="B57" s="90" t="s">
        <v>22</v>
      </c>
      <c r="C57" s="64" t="s">
        <v>116</v>
      </c>
      <c r="D57" s="74" t="s">
        <v>167</v>
      </c>
      <c r="E57" s="75">
        <f>E56</f>
        <v>263</v>
      </c>
      <c r="F57" s="76"/>
      <c r="G57" s="68"/>
    </row>
    <row r="58" spans="1:9" ht="24" customHeight="1" x14ac:dyDescent="0.2">
      <c r="A58" s="66"/>
      <c r="B58" s="90"/>
      <c r="C58" s="67" t="s">
        <v>114</v>
      </c>
      <c r="D58" s="72"/>
      <c r="E58" s="77"/>
      <c r="F58" s="77"/>
      <c r="G58" s="77"/>
    </row>
    <row r="59" spans="1:9" ht="39.75" customHeight="1" x14ac:dyDescent="0.2">
      <c r="A59" s="97">
        <v>35</v>
      </c>
      <c r="B59" s="90" t="s">
        <v>26</v>
      </c>
      <c r="C59" s="64" t="s">
        <v>113</v>
      </c>
      <c r="D59" s="74" t="s">
        <v>167</v>
      </c>
      <c r="E59" s="82">
        <v>671</v>
      </c>
      <c r="F59" s="76"/>
      <c r="G59" s="68"/>
    </row>
    <row r="60" spans="1:9" ht="55.5" customHeight="1" x14ac:dyDescent="0.2">
      <c r="A60" s="97">
        <v>36</v>
      </c>
      <c r="B60" s="90" t="s">
        <v>22</v>
      </c>
      <c r="C60" s="64" t="s">
        <v>118</v>
      </c>
      <c r="D60" s="74" t="s">
        <v>167</v>
      </c>
      <c r="E60" s="75">
        <f>E59</f>
        <v>671</v>
      </c>
      <c r="F60" s="76"/>
      <c r="G60" s="68"/>
    </row>
    <row r="61" spans="1:9" ht="29.25" customHeight="1" x14ac:dyDescent="0.2">
      <c r="A61" s="66"/>
      <c r="B61" s="91" t="s">
        <v>24</v>
      </c>
      <c r="C61" s="67" t="s">
        <v>25</v>
      </c>
      <c r="D61" s="72"/>
      <c r="E61" s="77"/>
      <c r="F61" s="77"/>
      <c r="G61" s="77"/>
    </row>
    <row r="62" spans="1:9" ht="46.5" customHeight="1" x14ac:dyDescent="0.2">
      <c r="A62" s="97">
        <v>37</v>
      </c>
      <c r="B62" s="90" t="s">
        <v>24</v>
      </c>
      <c r="C62" s="64" t="s">
        <v>145</v>
      </c>
      <c r="D62" s="74" t="s">
        <v>167</v>
      </c>
      <c r="E62" s="75">
        <v>18</v>
      </c>
      <c r="F62" s="75"/>
      <c r="G62" s="68"/>
    </row>
    <row r="63" spans="1:9" ht="30.75" customHeight="1" x14ac:dyDescent="0.2">
      <c r="A63" s="66"/>
      <c r="B63" s="91" t="s">
        <v>27</v>
      </c>
      <c r="C63" s="67" t="s">
        <v>28</v>
      </c>
      <c r="D63" s="72"/>
      <c r="E63" s="77"/>
      <c r="F63" s="77"/>
      <c r="G63" s="77"/>
    </row>
    <row r="64" spans="1:9" ht="36.75" customHeight="1" x14ac:dyDescent="0.2">
      <c r="A64" s="97">
        <v>38</v>
      </c>
      <c r="B64" s="90" t="s">
        <v>27</v>
      </c>
      <c r="C64" s="64" t="s">
        <v>108</v>
      </c>
      <c r="D64" s="74" t="s">
        <v>167</v>
      </c>
      <c r="E64" s="75">
        <v>23</v>
      </c>
      <c r="F64" s="75"/>
      <c r="G64" s="68"/>
    </row>
    <row r="65" spans="1:12" ht="52.5" customHeight="1" x14ac:dyDescent="0.2">
      <c r="A65" s="66" t="s">
        <v>4</v>
      </c>
      <c r="B65" s="89" t="s">
        <v>29</v>
      </c>
      <c r="C65" s="67" t="s">
        <v>30</v>
      </c>
      <c r="D65" s="69"/>
      <c r="E65" s="77"/>
      <c r="F65" s="77"/>
      <c r="G65" s="77"/>
    </row>
    <row r="66" spans="1:12" x14ac:dyDescent="0.2">
      <c r="A66" s="66"/>
      <c r="B66" s="91" t="s">
        <v>31</v>
      </c>
      <c r="C66" s="67" t="s">
        <v>32</v>
      </c>
      <c r="D66" s="72"/>
      <c r="E66" s="77"/>
      <c r="F66" s="77"/>
      <c r="G66" s="77"/>
    </row>
    <row r="67" spans="1:12" ht="38.25" customHeight="1" x14ac:dyDescent="0.2">
      <c r="A67" s="97">
        <v>39</v>
      </c>
      <c r="B67" s="93" t="s">
        <v>109</v>
      </c>
      <c r="C67" s="64" t="s">
        <v>128</v>
      </c>
      <c r="D67" s="74" t="s">
        <v>167</v>
      </c>
      <c r="E67" s="75">
        <v>1451</v>
      </c>
      <c r="F67" s="75"/>
      <c r="G67" s="68"/>
    </row>
    <row r="68" spans="1:12" ht="25.5" x14ac:dyDescent="0.2">
      <c r="A68" s="66"/>
      <c r="B68" s="91" t="s">
        <v>103</v>
      </c>
      <c r="C68" s="67" t="s">
        <v>33</v>
      </c>
      <c r="D68" s="71"/>
      <c r="E68" s="77"/>
      <c r="F68" s="77"/>
      <c r="G68" s="77"/>
    </row>
    <row r="69" spans="1:12" ht="38.25" customHeight="1" x14ac:dyDescent="0.2">
      <c r="A69" s="97">
        <v>40</v>
      </c>
      <c r="B69" s="90" t="s">
        <v>103</v>
      </c>
      <c r="C69" s="64" t="s">
        <v>101</v>
      </c>
      <c r="D69" s="74" t="s">
        <v>167</v>
      </c>
      <c r="E69" s="75">
        <v>1490</v>
      </c>
      <c r="F69" s="76"/>
      <c r="G69" s="68"/>
    </row>
    <row r="70" spans="1:12" ht="25.5" x14ac:dyDescent="0.2">
      <c r="A70" s="66" t="s">
        <v>34</v>
      </c>
      <c r="B70" s="91" t="s">
        <v>146</v>
      </c>
      <c r="C70" s="67" t="s">
        <v>147</v>
      </c>
      <c r="D70" s="71"/>
      <c r="E70" s="77"/>
      <c r="F70" s="77"/>
      <c r="G70" s="77"/>
    </row>
    <row r="71" spans="1:12" ht="40.5" customHeight="1" x14ac:dyDescent="0.2">
      <c r="A71" s="66" t="s">
        <v>37</v>
      </c>
      <c r="B71" s="91" t="s">
        <v>148</v>
      </c>
      <c r="C71" s="67" t="s">
        <v>39</v>
      </c>
      <c r="D71" s="72"/>
      <c r="E71" s="77"/>
      <c r="F71" s="77"/>
      <c r="G71" s="77"/>
    </row>
    <row r="72" spans="1:12" x14ac:dyDescent="0.2">
      <c r="A72" s="66"/>
      <c r="B72" s="91" t="s">
        <v>149</v>
      </c>
      <c r="C72" s="67" t="s">
        <v>150</v>
      </c>
      <c r="D72" s="72"/>
      <c r="E72" s="77"/>
      <c r="F72" s="77"/>
      <c r="G72" s="77"/>
    </row>
    <row r="73" spans="1:12" ht="23.25" customHeight="1" x14ac:dyDescent="0.2">
      <c r="A73" s="97">
        <v>41</v>
      </c>
      <c r="B73" s="90" t="s">
        <v>149</v>
      </c>
      <c r="C73" s="64" t="s">
        <v>159</v>
      </c>
      <c r="D73" s="74" t="s">
        <v>167</v>
      </c>
      <c r="E73" s="75">
        <v>40</v>
      </c>
      <c r="F73" s="75"/>
      <c r="G73" s="68"/>
    </row>
    <row r="74" spans="1:12" ht="12.75" customHeight="1" x14ac:dyDescent="0.2">
      <c r="A74" s="66" t="s">
        <v>34</v>
      </c>
      <c r="B74" s="91" t="s">
        <v>35</v>
      </c>
      <c r="C74" s="67" t="s">
        <v>36</v>
      </c>
      <c r="D74" s="71"/>
      <c r="E74" s="77"/>
      <c r="F74" s="77"/>
      <c r="G74" s="77"/>
    </row>
    <row r="75" spans="1:12" ht="42" customHeight="1" x14ac:dyDescent="0.2">
      <c r="A75" s="66" t="s">
        <v>37</v>
      </c>
      <c r="B75" s="91" t="s">
        <v>38</v>
      </c>
      <c r="C75" s="67" t="s">
        <v>39</v>
      </c>
      <c r="D75" s="72"/>
      <c r="E75" s="77"/>
      <c r="F75" s="77"/>
      <c r="G75" s="77"/>
    </row>
    <row r="76" spans="1:12" x14ac:dyDescent="0.2">
      <c r="A76" s="66"/>
      <c r="B76" s="91" t="s">
        <v>40</v>
      </c>
      <c r="C76" s="67" t="s">
        <v>41</v>
      </c>
      <c r="D76" s="72"/>
      <c r="E76" s="77"/>
      <c r="F76" s="77"/>
      <c r="G76" s="77"/>
    </row>
    <row r="77" spans="1:12" ht="38.25" x14ac:dyDescent="0.2">
      <c r="A77" s="154" t="s">
        <v>193</v>
      </c>
      <c r="B77" s="111" t="s">
        <v>40</v>
      </c>
      <c r="C77" s="155" t="s">
        <v>194</v>
      </c>
      <c r="D77" s="156" t="s">
        <v>42</v>
      </c>
      <c r="E77" s="157">
        <v>189</v>
      </c>
      <c r="F77" s="157"/>
      <c r="G77" s="157"/>
    </row>
    <row r="78" spans="1:12" ht="38.25" x14ac:dyDescent="0.2">
      <c r="A78" s="101" t="s">
        <v>177</v>
      </c>
      <c r="B78" s="102" t="s">
        <v>40</v>
      </c>
      <c r="C78" s="107" t="s">
        <v>183</v>
      </c>
      <c r="D78" s="103" t="s">
        <v>42</v>
      </c>
      <c r="E78" s="104">
        <v>189</v>
      </c>
      <c r="F78" s="105"/>
      <c r="G78" s="106"/>
      <c r="L78" s="62"/>
    </row>
    <row r="79" spans="1:12" ht="38.25" x14ac:dyDescent="0.2">
      <c r="A79" s="117" t="s">
        <v>197</v>
      </c>
      <c r="B79" s="111" t="s">
        <v>40</v>
      </c>
      <c r="C79" s="155" t="s">
        <v>195</v>
      </c>
      <c r="D79" s="158" t="s">
        <v>42</v>
      </c>
      <c r="E79" s="114">
        <v>557</v>
      </c>
      <c r="F79" s="159"/>
      <c r="G79" s="160"/>
      <c r="L79" s="62"/>
    </row>
    <row r="80" spans="1:12" ht="38.25" x14ac:dyDescent="0.2">
      <c r="A80" s="101" t="s">
        <v>178</v>
      </c>
      <c r="B80" s="102" t="s">
        <v>40</v>
      </c>
      <c r="C80" s="107" t="s">
        <v>184</v>
      </c>
      <c r="D80" s="103" t="s">
        <v>42</v>
      </c>
      <c r="E80" s="104">
        <f>788-E82-E78</f>
        <v>557</v>
      </c>
      <c r="F80" s="105"/>
      <c r="G80" s="106"/>
      <c r="L80" s="61"/>
    </row>
    <row r="81" spans="1:12" ht="38.25" x14ac:dyDescent="0.2">
      <c r="A81" s="110" t="s">
        <v>196</v>
      </c>
      <c r="B81" s="111" t="s">
        <v>40</v>
      </c>
      <c r="C81" s="155" t="s">
        <v>198</v>
      </c>
      <c r="D81" s="158" t="s">
        <v>42</v>
      </c>
      <c r="E81" s="114">
        <v>42</v>
      </c>
      <c r="F81" s="159"/>
      <c r="G81" s="160"/>
      <c r="L81" s="61"/>
    </row>
    <row r="82" spans="1:12" ht="30.75" customHeight="1" x14ac:dyDescent="0.2">
      <c r="A82" s="101" t="s">
        <v>179</v>
      </c>
      <c r="B82" s="102" t="s">
        <v>40</v>
      </c>
      <c r="C82" s="107" t="s">
        <v>185</v>
      </c>
      <c r="D82" s="103" t="s">
        <v>42</v>
      </c>
      <c r="E82" s="104">
        <v>42</v>
      </c>
      <c r="F82" s="105"/>
      <c r="G82" s="106"/>
    </row>
    <row r="83" spans="1:12" x14ac:dyDescent="0.2">
      <c r="A83" s="66"/>
      <c r="B83" s="91" t="s">
        <v>43</v>
      </c>
      <c r="C83" s="67" t="s">
        <v>44</v>
      </c>
      <c r="D83" s="73"/>
      <c r="E83" s="77"/>
      <c r="F83" s="77"/>
      <c r="G83" s="77"/>
    </row>
    <row r="84" spans="1:12" ht="30" customHeight="1" x14ac:dyDescent="0.2">
      <c r="A84" s="97">
        <v>45</v>
      </c>
      <c r="B84" s="90" t="s">
        <v>43</v>
      </c>
      <c r="C84" s="64" t="s">
        <v>156</v>
      </c>
      <c r="D84" s="63" t="s">
        <v>42</v>
      </c>
      <c r="E84" s="75">
        <v>520</v>
      </c>
      <c r="F84" s="83"/>
      <c r="G84" s="68"/>
    </row>
    <row r="85" spans="1:12" ht="22.5" customHeight="1" x14ac:dyDescent="0.2">
      <c r="A85" s="99"/>
      <c r="B85" s="94"/>
      <c r="C85" s="129" t="s">
        <v>160</v>
      </c>
      <c r="D85" s="130"/>
      <c r="E85" s="130"/>
      <c r="F85" s="130"/>
      <c r="G85" s="84"/>
    </row>
    <row r="86" spans="1:12" ht="24" customHeight="1" x14ac:dyDescent="0.2">
      <c r="A86" s="99"/>
      <c r="B86" s="94"/>
      <c r="C86" s="131" t="s">
        <v>190</v>
      </c>
      <c r="D86" s="132"/>
      <c r="E86" s="132"/>
      <c r="F86" s="132"/>
      <c r="G86" s="84"/>
    </row>
    <row r="87" spans="1:12" ht="31.5" customHeight="1" x14ac:dyDescent="0.2">
      <c r="A87" s="99"/>
      <c r="B87" s="94"/>
      <c r="C87" s="133" t="s">
        <v>161</v>
      </c>
      <c r="D87" s="132"/>
      <c r="E87" s="132"/>
      <c r="F87" s="132"/>
      <c r="G87" s="84"/>
    </row>
    <row r="88" spans="1:12" x14ac:dyDescent="0.2">
      <c r="D88" s="120" t="s">
        <v>180</v>
      </c>
      <c r="E88" s="121"/>
      <c r="F88" s="121"/>
      <c r="G88" s="121"/>
    </row>
    <row r="89" spans="1:12" x14ac:dyDescent="0.2">
      <c r="D89" s="121"/>
      <c r="E89" s="121"/>
      <c r="F89" s="121"/>
      <c r="G89" s="121"/>
    </row>
    <row r="90" spans="1:12" ht="39" customHeight="1" x14ac:dyDescent="0.2">
      <c r="D90" s="122" t="s">
        <v>181</v>
      </c>
      <c r="E90" s="123"/>
      <c r="F90" s="123"/>
      <c r="G90" s="124"/>
    </row>
    <row r="92" spans="1:12" ht="12.75" customHeight="1" x14ac:dyDescent="0.2">
      <c r="A92" s="125" t="s">
        <v>182</v>
      </c>
      <c r="B92" s="126"/>
      <c r="C92" s="126"/>
      <c r="D92" s="126"/>
      <c r="E92" s="126"/>
    </row>
    <row r="97" spans="2:6" ht="112.5" customHeight="1" x14ac:dyDescent="0.2">
      <c r="B97" s="118" t="s">
        <v>192</v>
      </c>
      <c r="C97" s="119"/>
      <c r="D97" s="119"/>
      <c r="E97" s="119"/>
      <c r="F97" s="119"/>
    </row>
  </sheetData>
  <autoFilter ref="A4:E84"/>
  <mergeCells count="10">
    <mergeCell ref="B97:F97"/>
    <mergeCell ref="D88:G89"/>
    <mergeCell ref="D90:G90"/>
    <mergeCell ref="A92:E92"/>
    <mergeCell ref="A1:F1"/>
    <mergeCell ref="C85:F85"/>
    <mergeCell ref="C86:F86"/>
    <mergeCell ref="C87:F87"/>
    <mergeCell ref="A2:G2"/>
    <mergeCell ref="A3:C3"/>
  </mergeCells>
  <conditionalFormatting sqref="B4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82" fitToHeight="0" orientation="portrait" r:id="rId1"/>
  <headerFooter>
    <oddFooter xml:space="preserve">&amp;R1
</oddFooter>
  </headerFooter>
  <rowBreaks count="2" manualBreakCount="2">
    <brk id="31" max="6" man="1"/>
    <brk id="9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8"/>
  <sheetViews>
    <sheetView topLeftCell="A52" workbookViewId="0">
      <selection activeCell="B2" sqref="B2:B277"/>
    </sheetView>
  </sheetViews>
  <sheetFormatPr defaultRowHeight="12.75" x14ac:dyDescent="0.2"/>
  <cols>
    <col min="2" max="2" width="9.140625" style="26"/>
  </cols>
  <sheetData>
    <row r="2" spans="1:2" x14ac:dyDescent="0.2">
      <c r="A2" s="27">
        <v>240</v>
      </c>
      <c r="B2" s="28">
        <f>A2/3.14</f>
        <v>76.43312101910827</v>
      </c>
    </row>
    <row r="3" spans="1:2" x14ac:dyDescent="0.2">
      <c r="A3" s="27">
        <v>195</v>
      </c>
      <c r="B3" s="28">
        <f t="shared" ref="B3:B257" si="0">A3/3.14</f>
        <v>62.101910828025474</v>
      </c>
    </row>
    <row r="4" spans="1:2" x14ac:dyDescent="0.2">
      <c r="A4" s="27">
        <v>252</v>
      </c>
      <c r="B4" s="28">
        <f t="shared" si="0"/>
        <v>80.254777070063696</v>
      </c>
    </row>
    <row r="5" spans="1:2" x14ac:dyDescent="0.2">
      <c r="A5" s="27">
        <v>230</v>
      </c>
      <c r="B5" s="28">
        <f t="shared" si="0"/>
        <v>73.248407643312106</v>
      </c>
    </row>
    <row r="6" spans="1:2" x14ac:dyDescent="0.2">
      <c r="A6" s="27">
        <v>199</v>
      </c>
      <c r="B6" s="28">
        <f t="shared" si="0"/>
        <v>63.375796178343947</v>
      </c>
    </row>
    <row r="7" spans="1:2" x14ac:dyDescent="0.2">
      <c r="A7" s="27">
        <v>230</v>
      </c>
      <c r="B7" s="28">
        <f t="shared" si="0"/>
        <v>73.248407643312106</v>
      </c>
    </row>
    <row r="8" spans="1:2" x14ac:dyDescent="0.2">
      <c r="A8" s="27">
        <v>166</v>
      </c>
      <c r="B8" s="28">
        <f t="shared" si="0"/>
        <v>52.866242038216555</v>
      </c>
    </row>
    <row r="9" spans="1:2" x14ac:dyDescent="0.2">
      <c r="A9" s="27">
        <v>238</v>
      </c>
      <c r="B9" s="28">
        <f t="shared" si="0"/>
        <v>75.796178343949038</v>
      </c>
    </row>
    <row r="10" spans="1:2" x14ac:dyDescent="0.2">
      <c r="A10" s="27">
        <v>230</v>
      </c>
      <c r="B10" s="28">
        <f t="shared" si="0"/>
        <v>73.248407643312106</v>
      </c>
    </row>
    <row r="11" spans="1:2" x14ac:dyDescent="0.2">
      <c r="A11" s="27">
        <v>255</v>
      </c>
      <c r="B11" s="28">
        <f t="shared" si="0"/>
        <v>81.210191082802538</v>
      </c>
    </row>
    <row r="12" spans="1:2" x14ac:dyDescent="0.2">
      <c r="A12" s="27">
        <v>248</v>
      </c>
      <c r="B12" s="28">
        <f t="shared" si="0"/>
        <v>78.980891719745216</v>
      </c>
    </row>
    <row r="13" spans="1:2" x14ac:dyDescent="0.2">
      <c r="A13" s="27">
        <v>230</v>
      </c>
      <c r="B13" s="28">
        <f t="shared" si="0"/>
        <v>73.248407643312106</v>
      </c>
    </row>
    <row r="14" spans="1:2" x14ac:dyDescent="0.2">
      <c r="A14">
        <v>184</v>
      </c>
      <c r="B14" s="26">
        <f t="shared" si="0"/>
        <v>58.598726114649679</v>
      </c>
    </row>
    <row r="15" spans="1:2" x14ac:dyDescent="0.2">
      <c r="A15">
        <v>208</v>
      </c>
      <c r="B15" s="26">
        <f t="shared" si="0"/>
        <v>66.242038216560502</v>
      </c>
    </row>
    <row r="16" spans="1:2" x14ac:dyDescent="0.2">
      <c r="A16">
        <v>225</v>
      </c>
      <c r="B16" s="26">
        <f t="shared" si="0"/>
        <v>71.656050955414017</v>
      </c>
    </row>
    <row r="17" spans="1:3" x14ac:dyDescent="0.2">
      <c r="A17">
        <v>197</v>
      </c>
      <c r="B17" s="26">
        <f t="shared" si="0"/>
        <v>62.738853503184714</v>
      </c>
    </row>
    <row r="18" spans="1:3" x14ac:dyDescent="0.2">
      <c r="A18">
        <v>170</v>
      </c>
      <c r="B18" s="26">
        <f t="shared" si="0"/>
        <v>54.140127388535028</v>
      </c>
    </row>
    <row r="19" spans="1:3" x14ac:dyDescent="0.2">
      <c r="A19">
        <v>153</v>
      </c>
      <c r="B19" s="26">
        <f t="shared" si="0"/>
        <v>48.726114649681527</v>
      </c>
    </row>
    <row r="20" spans="1:3" x14ac:dyDescent="0.2">
      <c r="A20">
        <v>187</v>
      </c>
      <c r="B20" s="26">
        <f t="shared" si="0"/>
        <v>59.554140127388536</v>
      </c>
    </row>
    <row r="21" spans="1:3" x14ac:dyDescent="0.2">
      <c r="A21">
        <v>177</v>
      </c>
      <c r="B21" s="26">
        <f t="shared" si="0"/>
        <v>56.369426751592357</v>
      </c>
    </row>
    <row r="22" spans="1:3" x14ac:dyDescent="0.2">
      <c r="A22">
        <v>160</v>
      </c>
      <c r="B22" s="26">
        <f t="shared" si="0"/>
        <v>50.955414012738849</v>
      </c>
    </row>
    <row r="23" spans="1:3" x14ac:dyDescent="0.2">
      <c r="A23">
        <v>164</v>
      </c>
      <c r="B23" s="26">
        <f t="shared" si="0"/>
        <v>52.229299363057322</v>
      </c>
    </row>
    <row r="24" spans="1:3" x14ac:dyDescent="0.2">
      <c r="A24">
        <v>185</v>
      </c>
      <c r="B24" s="26">
        <f t="shared" si="0"/>
        <v>58.917197452229296</v>
      </c>
    </row>
    <row r="25" spans="1:3" x14ac:dyDescent="0.2">
      <c r="A25">
        <v>156</v>
      </c>
      <c r="B25" s="26">
        <f t="shared" si="0"/>
        <v>49.681528662420384</v>
      </c>
    </row>
    <row r="26" spans="1:3" x14ac:dyDescent="0.2">
      <c r="A26">
        <v>155</v>
      </c>
      <c r="B26" s="26">
        <f t="shared" si="0"/>
        <v>49.36305732484076</v>
      </c>
    </row>
    <row r="27" spans="1:3" x14ac:dyDescent="0.2">
      <c r="A27">
        <v>216</v>
      </c>
      <c r="B27" s="26">
        <f t="shared" si="0"/>
        <v>68.789808917197448</v>
      </c>
    </row>
    <row r="28" spans="1:3" x14ac:dyDescent="0.2">
      <c r="A28">
        <v>20</v>
      </c>
      <c r="B28" s="26">
        <f t="shared" si="0"/>
        <v>6.3694267515923562</v>
      </c>
    </row>
    <row r="29" spans="1:3" x14ac:dyDescent="0.2">
      <c r="A29" s="27">
        <v>18</v>
      </c>
      <c r="B29" s="28">
        <f t="shared" si="0"/>
        <v>5.7324840764331206</v>
      </c>
      <c r="C29">
        <v>798</v>
      </c>
    </row>
    <row r="30" spans="1:3" x14ac:dyDescent="0.2">
      <c r="A30" s="27">
        <v>15</v>
      </c>
      <c r="B30" s="28">
        <f t="shared" si="0"/>
        <v>4.7770700636942669</v>
      </c>
    </row>
    <row r="31" spans="1:3" x14ac:dyDescent="0.2">
      <c r="A31" s="27">
        <v>30</v>
      </c>
      <c r="B31" s="28">
        <f t="shared" si="0"/>
        <v>9.5541401273885338</v>
      </c>
    </row>
    <row r="32" spans="1:3" x14ac:dyDescent="0.2">
      <c r="A32" s="27">
        <v>30</v>
      </c>
      <c r="B32" s="28">
        <f t="shared" si="0"/>
        <v>9.5541401273885338</v>
      </c>
    </row>
    <row r="33" spans="1:3" x14ac:dyDescent="0.2">
      <c r="A33" s="27">
        <v>30</v>
      </c>
      <c r="B33" s="28">
        <f t="shared" si="0"/>
        <v>9.5541401273885338</v>
      </c>
    </row>
    <row r="34" spans="1:3" x14ac:dyDescent="0.2">
      <c r="A34" s="27">
        <v>30</v>
      </c>
      <c r="B34" s="28">
        <f t="shared" si="0"/>
        <v>9.5541401273885338</v>
      </c>
      <c r="C34">
        <v>927</v>
      </c>
    </row>
    <row r="35" spans="1:3" x14ac:dyDescent="0.2">
      <c r="A35" s="27">
        <v>72</v>
      </c>
      <c r="B35" s="28">
        <f t="shared" si="0"/>
        <v>22.929936305732483</v>
      </c>
    </row>
    <row r="36" spans="1:3" x14ac:dyDescent="0.2">
      <c r="A36" s="27">
        <v>15</v>
      </c>
      <c r="B36" s="28">
        <f t="shared" si="0"/>
        <v>4.7770700636942669</v>
      </c>
    </row>
    <row r="37" spans="1:3" x14ac:dyDescent="0.2">
      <c r="A37" s="27">
        <v>135</v>
      </c>
      <c r="B37" s="28">
        <f t="shared" si="0"/>
        <v>42.993630573248403</v>
      </c>
    </row>
    <row r="38" spans="1:3" x14ac:dyDescent="0.2">
      <c r="A38" s="27">
        <v>10</v>
      </c>
      <c r="B38" s="28">
        <f t="shared" si="0"/>
        <v>3.1847133757961781</v>
      </c>
    </row>
    <row r="39" spans="1:3" x14ac:dyDescent="0.2">
      <c r="A39" s="27">
        <v>10</v>
      </c>
      <c r="B39" s="28">
        <f t="shared" si="0"/>
        <v>3.1847133757961781</v>
      </c>
    </row>
    <row r="40" spans="1:3" x14ac:dyDescent="0.2">
      <c r="A40" s="27">
        <v>10</v>
      </c>
      <c r="B40" s="28">
        <f t="shared" si="0"/>
        <v>3.1847133757961781</v>
      </c>
    </row>
    <row r="41" spans="1:3" x14ac:dyDescent="0.2">
      <c r="A41" s="27">
        <v>10</v>
      </c>
      <c r="B41" s="28">
        <f t="shared" si="0"/>
        <v>3.1847133757961781</v>
      </c>
    </row>
    <row r="42" spans="1:3" x14ac:dyDescent="0.2">
      <c r="A42" s="27">
        <v>10</v>
      </c>
      <c r="B42" s="28">
        <f t="shared" si="0"/>
        <v>3.1847133757961781</v>
      </c>
    </row>
    <row r="43" spans="1:3" x14ac:dyDescent="0.2">
      <c r="A43" s="27">
        <v>10</v>
      </c>
      <c r="B43" s="28">
        <f t="shared" si="0"/>
        <v>3.1847133757961781</v>
      </c>
    </row>
    <row r="44" spans="1:3" x14ac:dyDescent="0.2">
      <c r="A44" s="27">
        <v>8</v>
      </c>
      <c r="B44" s="28">
        <f t="shared" si="0"/>
        <v>2.5477707006369426</v>
      </c>
    </row>
    <row r="45" spans="1:3" x14ac:dyDescent="0.2">
      <c r="A45" s="27">
        <v>10</v>
      </c>
      <c r="B45" s="28">
        <f t="shared" si="0"/>
        <v>3.1847133757961781</v>
      </c>
    </row>
    <row r="46" spans="1:3" x14ac:dyDescent="0.2">
      <c r="A46" s="27">
        <v>8</v>
      </c>
      <c r="B46" s="28">
        <f t="shared" si="0"/>
        <v>2.5477707006369426</v>
      </c>
    </row>
    <row r="47" spans="1:3" x14ac:dyDescent="0.2">
      <c r="A47" s="27">
        <v>10</v>
      </c>
      <c r="B47" s="28">
        <f t="shared" si="0"/>
        <v>3.1847133757961781</v>
      </c>
    </row>
    <row r="48" spans="1:3" x14ac:dyDescent="0.2">
      <c r="A48" s="27">
        <v>8</v>
      </c>
      <c r="B48" s="28">
        <f t="shared" si="0"/>
        <v>2.5477707006369426</v>
      </c>
    </row>
    <row r="49" spans="1:2" x14ac:dyDescent="0.2">
      <c r="A49" s="8">
        <v>45</v>
      </c>
      <c r="B49" s="26">
        <f t="shared" si="0"/>
        <v>14.331210191082802</v>
      </c>
    </row>
    <row r="50" spans="1:2" x14ac:dyDescent="0.2">
      <c r="A50" s="8">
        <v>40</v>
      </c>
      <c r="B50" s="26">
        <f t="shared" si="0"/>
        <v>12.738853503184712</v>
      </c>
    </row>
    <row r="51" spans="1:2" x14ac:dyDescent="0.2">
      <c r="A51" s="8">
        <v>50</v>
      </c>
      <c r="B51" s="26">
        <f t="shared" si="0"/>
        <v>15.923566878980891</v>
      </c>
    </row>
    <row r="52" spans="1:2" x14ac:dyDescent="0.2">
      <c r="A52" s="8">
        <v>45</v>
      </c>
      <c r="B52" s="26">
        <f t="shared" si="0"/>
        <v>14.331210191082802</v>
      </c>
    </row>
    <row r="53" spans="1:2" x14ac:dyDescent="0.2">
      <c r="A53" s="8">
        <v>85</v>
      </c>
      <c r="B53" s="26">
        <f t="shared" si="0"/>
        <v>27.070063694267514</v>
      </c>
    </row>
    <row r="54" spans="1:2" x14ac:dyDescent="0.2">
      <c r="A54" s="8">
        <v>60</v>
      </c>
      <c r="B54" s="26">
        <f t="shared" si="0"/>
        <v>19.108280254777068</v>
      </c>
    </row>
    <row r="55" spans="1:2" x14ac:dyDescent="0.2">
      <c r="A55" s="8">
        <v>45</v>
      </c>
      <c r="B55" s="26">
        <f t="shared" si="0"/>
        <v>14.331210191082802</v>
      </c>
    </row>
    <row r="56" spans="1:2" x14ac:dyDescent="0.2">
      <c r="A56" s="8">
        <v>50</v>
      </c>
      <c r="B56" s="26">
        <f t="shared" si="0"/>
        <v>15.923566878980891</v>
      </c>
    </row>
    <row r="57" spans="1:2" x14ac:dyDescent="0.2">
      <c r="A57" s="8">
        <v>55</v>
      </c>
      <c r="B57" s="26">
        <f t="shared" si="0"/>
        <v>17.515923566878982</v>
      </c>
    </row>
    <row r="58" spans="1:2" x14ac:dyDescent="0.2">
      <c r="A58" s="8">
        <v>40</v>
      </c>
      <c r="B58" s="26">
        <f t="shared" si="0"/>
        <v>12.738853503184712</v>
      </c>
    </row>
    <row r="59" spans="1:2" x14ac:dyDescent="0.2">
      <c r="A59" s="8">
        <v>50</v>
      </c>
      <c r="B59" s="26">
        <f t="shared" si="0"/>
        <v>15.923566878980891</v>
      </c>
    </row>
    <row r="60" spans="1:2" x14ac:dyDescent="0.2">
      <c r="A60" s="8">
        <v>50</v>
      </c>
      <c r="B60" s="26">
        <f t="shared" si="0"/>
        <v>15.923566878980891</v>
      </c>
    </row>
    <row r="61" spans="1:2" x14ac:dyDescent="0.2">
      <c r="A61" s="8">
        <v>45</v>
      </c>
      <c r="B61" s="26">
        <f t="shared" si="0"/>
        <v>14.331210191082802</v>
      </c>
    </row>
    <row r="62" spans="1:2" x14ac:dyDescent="0.2">
      <c r="A62" s="8">
        <v>50</v>
      </c>
      <c r="B62" s="26">
        <f t="shared" si="0"/>
        <v>15.923566878980891</v>
      </c>
    </row>
    <row r="63" spans="1:2" x14ac:dyDescent="0.2">
      <c r="A63" s="8">
        <v>50</v>
      </c>
      <c r="B63" s="26">
        <f t="shared" si="0"/>
        <v>15.923566878980891</v>
      </c>
    </row>
    <row r="64" spans="1:2" x14ac:dyDescent="0.2">
      <c r="A64" s="8">
        <v>45</v>
      </c>
      <c r="B64" s="26">
        <f t="shared" si="0"/>
        <v>14.331210191082802</v>
      </c>
    </row>
    <row r="65" spans="1:2" x14ac:dyDescent="0.2">
      <c r="A65" s="8">
        <v>50</v>
      </c>
      <c r="B65" s="26">
        <f t="shared" si="0"/>
        <v>15.923566878980891</v>
      </c>
    </row>
    <row r="66" spans="1:2" x14ac:dyDescent="0.2">
      <c r="A66" s="8">
        <v>10</v>
      </c>
      <c r="B66" s="26">
        <f t="shared" si="0"/>
        <v>3.1847133757961781</v>
      </c>
    </row>
    <row r="67" spans="1:2" x14ac:dyDescent="0.2">
      <c r="A67" s="8">
        <v>10</v>
      </c>
      <c r="B67" s="26">
        <f t="shared" si="0"/>
        <v>3.1847133757961781</v>
      </c>
    </row>
    <row r="68" spans="1:2" x14ac:dyDescent="0.2">
      <c r="A68" s="8">
        <v>10</v>
      </c>
      <c r="B68" s="26">
        <f t="shared" si="0"/>
        <v>3.1847133757961781</v>
      </c>
    </row>
    <row r="69" spans="1:2" x14ac:dyDescent="0.2">
      <c r="A69" s="8">
        <v>10</v>
      </c>
      <c r="B69" s="26">
        <f t="shared" si="0"/>
        <v>3.1847133757961781</v>
      </c>
    </row>
    <row r="70" spans="1:2" x14ac:dyDescent="0.2">
      <c r="A70" s="8">
        <v>10</v>
      </c>
      <c r="B70" s="26">
        <f t="shared" si="0"/>
        <v>3.1847133757961781</v>
      </c>
    </row>
    <row r="71" spans="1:2" x14ac:dyDescent="0.2">
      <c r="A71" s="8">
        <v>10</v>
      </c>
      <c r="B71" s="26">
        <f t="shared" si="0"/>
        <v>3.1847133757961781</v>
      </c>
    </row>
    <row r="72" spans="1:2" x14ac:dyDescent="0.2">
      <c r="A72" s="8">
        <v>10</v>
      </c>
      <c r="B72" s="26">
        <f t="shared" si="0"/>
        <v>3.1847133757961781</v>
      </c>
    </row>
    <row r="73" spans="1:2" x14ac:dyDescent="0.2">
      <c r="A73" s="8">
        <v>10</v>
      </c>
      <c r="B73" s="26">
        <f t="shared" si="0"/>
        <v>3.1847133757961781</v>
      </c>
    </row>
    <row r="74" spans="1:2" x14ac:dyDescent="0.2">
      <c r="A74" s="8">
        <v>10</v>
      </c>
      <c r="B74" s="26">
        <f t="shared" si="0"/>
        <v>3.1847133757961781</v>
      </c>
    </row>
    <row r="75" spans="1:2" x14ac:dyDescent="0.2">
      <c r="A75" s="8">
        <v>10</v>
      </c>
      <c r="B75" s="26">
        <f t="shared" si="0"/>
        <v>3.1847133757961781</v>
      </c>
    </row>
    <row r="76" spans="1:2" x14ac:dyDescent="0.2">
      <c r="A76" s="8">
        <v>10</v>
      </c>
      <c r="B76" s="26">
        <f t="shared" si="0"/>
        <v>3.1847133757961781</v>
      </c>
    </row>
    <row r="77" spans="1:2" x14ac:dyDescent="0.2">
      <c r="A77" s="8">
        <v>5</v>
      </c>
      <c r="B77" s="26">
        <f t="shared" si="0"/>
        <v>1.592356687898089</v>
      </c>
    </row>
    <row r="78" spans="1:2" x14ac:dyDescent="0.2">
      <c r="A78" s="8">
        <v>10</v>
      </c>
      <c r="B78" s="26">
        <f t="shared" si="0"/>
        <v>3.1847133757961781</v>
      </c>
    </row>
    <row r="79" spans="1:2" x14ac:dyDescent="0.2">
      <c r="A79" s="8">
        <v>10</v>
      </c>
      <c r="B79" s="26">
        <f t="shared" si="0"/>
        <v>3.1847133757961781</v>
      </c>
    </row>
    <row r="80" spans="1:2" x14ac:dyDescent="0.2">
      <c r="A80" s="8">
        <v>10</v>
      </c>
      <c r="B80" s="26">
        <f t="shared" si="0"/>
        <v>3.1847133757961781</v>
      </c>
    </row>
    <row r="81" spans="1:3" x14ac:dyDescent="0.2">
      <c r="A81" s="27">
        <v>60</v>
      </c>
      <c r="B81" s="28">
        <f t="shared" si="0"/>
        <v>19.108280254777068</v>
      </c>
    </row>
    <row r="82" spans="1:3" x14ac:dyDescent="0.2">
      <c r="A82" s="27">
        <v>70</v>
      </c>
      <c r="B82" s="28">
        <f t="shared" si="0"/>
        <v>22.292993630573246</v>
      </c>
      <c r="C82">
        <v>8</v>
      </c>
    </row>
    <row r="83" spans="1:3" x14ac:dyDescent="0.2">
      <c r="A83" s="27">
        <v>60</v>
      </c>
      <c r="B83" s="28">
        <f t="shared" si="0"/>
        <v>19.108280254777068</v>
      </c>
    </row>
    <row r="84" spans="1:3" x14ac:dyDescent="0.2">
      <c r="A84" s="27">
        <v>60</v>
      </c>
      <c r="B84" s="28">
        <f t="shared" si="0"/>
        <v>19.108280254777068</v>
      </c>
    </row>
    <row r="85" spans="1:3" x14ac:dyDescent="0.2">
      <c r="A85" s="27">
        <v>75</v>
      </c>
      <c r="B85" s="28">
        <f t="shared" si="0"/>
        <v>23.885350318471335</v>
      </c>
      <c r="C85">
        <v>22.5</v>
      </c>
    </row>
    <row r="86" spans="1:3" x14ac:dyDescent="0.2">
      <c r="A86" s="8">
        <v>40</v>
      </c>
      <c r="B86" s="26">
        <f t="shared" si="0"/>
        <v>12.738853503184712</v>
      </c>
      <c r="C86">
        <v>18</v>
      </c>
    </row>
    <row r="87" spans="1:3" x14ac:dyDescent="0.2">
      <c r="A87" s="8">
        <v>40</v>
      </c>
      <c r="B87" s="26">
        <f t="shared" si="0"/>
        <v>12.738853503184712</v>
      </c>
      <c r="C87">
        <v>44</v>
      </c>
    </row>
    <row r="88" spans="1:3" x14ac:dyDescent="0.2">
      <c r="A88" s="8">
        <v>40</v>
      </c>
      <c r="B88" s="26">
        <f t="shared" si="0"/>
        <v>12.738853503184712</v>
      </c>
      <c r="C88">
        <v>31</v>
      </c>
    </row>
    <row r="89" spans="1:3" x14ac:dyDescent="0.2">
      <c r="A89" s="8">
        <v>40</v>
      </c>
      <c r="B89" s="26">
        <f t="shared" si="0"/>
        <v>12.738853503184712</v>
      </c>
      <c r="C89">
        <v>8</v>
      </c>
    </row>
    <row r="90" spans="1:3" x14ac:dyDescent="0.2">
      <c r="A90" s="8">
        <v>22</v>
      </c>
      <c r="B90" s="26">
        <f t="shared" si="0"/>
        <v>7.0063694267515917</v>
      </c>
      <c r="C90">
        <v>2.25</v>
      </c>
    </row>
    <row r="91" spans="1:3" x14ac:dyDescent="0.2">
      <c r="A91" s="8">
        <v>22</v>
      </c>
      <c r="B91" s="26">
        <f t="shared" si="0"/>
        <v>7.0063694267515917</v>
      </c>
      <c r="C91">
        <v>8</v>
      </c>
    </row>
    <row r="92" spans="1:3" x14ac:dyDescent="0.2">
      <c r="A92" s="8">
        <v>22</v>
      </c>
      <c r="B92" s="26">
        <f t="shared" si="0"/>
        <v>7.0063694267515917</v>
      </c>
    </row>
    <row r="93" spans="1:3" x14ac:dyDescent="0.2">
      <c r="A93" s="8">
        <v>22</v>
      </c>
      <c r="B93" s="26">
        <f t="shared" si="0"/>
        <v>7.0063694267515917</v>
      </c>
    </row>
    <row r="94" spans="1:3" x14ac:dyDescent="0.2">
      <c r="A94" s="27">
        <v>25</v>
      </c>
      <c r="B94" s="28">
        <f t="shared" si="0"/>
        <v>7.9617834394904454</v>
      </c>
    </row>
    <row r="95" spans="1:3" x14ac:dyDescent="0.2">
      <c r="A95" s="27">
        <v>25</v>
      </c>
      <c r="B95" s="28">
        <f t="shared" si="0"/>
        <v>7.9617834394904454</v>
      </c>
    </row>
    <row r="96" spans="1:3" x14ac:dyDescent="0.2">
      <c r="A96" s="27">
        <v>25</v>
      </c>
      <c r="B96" s="28">
        <f t="shared" si="0"/>
        <v>7.9617834394904454</v>
      </c>
    </row>
    <row r="97" spans="1:2" x14ac:dyDescent="0.2">
      <c r="A97" s="27">
        <v>25</v>
      </c>
      <c r="B97" s="28">
        <f t="shared" si="0"/>
        <v>7.9617834394904454</v>
      </c>
    </row>
    <row r="98" spans="1:2" x14ac:dyDescent="0.2">
      <c r="A98" s="27">
        <v>15</v>
      </c>
      <c r="B98" s="28">
        <f t="shared" si="0"/>
        <v>4.7770700636942669</v>
      </c>
    </row>
    <row r="99" spans="1:2" x14ac:dyDescent="0.2">
      <c r="A99" s="27">
        <v>15</v>
      </c>
      <c r="B99" s="28">
        <f t="shared" si="0"/>
        <v>4.7770700636942669</v>
      </c>
    </row>
    <row r="100" spans="1:2" x14ac:dyDescent="0.2">
      <c r="A100" s="27">
        <v>8</v>
      </c>
      <c r="B100" s="28">
        <f t="shared" si="0"/>
        <v>2.5477707006369426</v>
      </c>
    </row>
    <row r="101" spans="1:2" x14ac:dyDescent="0.2">
      <c r="A101" s="27">
        <v>25</v>
      </c>
      <c r="B101" s="28">
        <f t="shared" si="0"/>
        <v>7.9617834394904454</v>
      </c>
    </row>
    <row r="102" spans="1:2" x14ac:dyDescent="0.2">
      <c r="A102" s="27">
        <v>23</v>
      </c>
      <c r="B102" s="28">
        <f t="shared" si="0"/>
        <v>7.3248407643312099</v>
      </c>
    </row>
    <row r="103" spans="1:2" x14ac:dyDescent="0.2">
      <c r="A103" s="27">
        <v>23</v>
      </c>
      <c r="B103" s="28">
        <f t="shared" si="0"/>
        <v>7.3248407643312099</v>
      </c>
    </row>
    <row r="104" spans="1:2" x14ac:dyDescent="0.2">
      <c r="A104" s="27">
        <v>10</v>
      </c>
      <c r="B104" s="28">
        <f t="shared" si="0"/>
        <v>3.1847133757961781</v>
      </c>
    </row>
    <row r="105" spans="1:2" x14ac:dyDescent="0.2">
      <c r="A105" s="27">
        <v>10</v>
      </c>
      <c r="B105" s="28">
        <f t="shared" si="0"/>
        <v>3.1847133757961781</v>
      </c>
    </row>
    <row r="106" spans="1:2" x14ac:dyDescent="0.2">
      <c r="A106" s="27">
        <v>10</v>
      </c>
      <c r="B106" s="28">
        <f t="shared" si="0"/>
        <v>3.1847133757961781</v>
      </c>
    </row>
    <row r="107" spans="1:2" x14ac:dyDescent="0.2">
      <c r="A107" s="27">
        <v>10</v>
      </c>
      <c r="B107" s="28">
        <f t="shared" si="0"/>
        <v>3.1847133757961781</v>
      </c>
    </row>
    <row r="108" spans="1:2" x14ac:dyDescent="0.2">
      <c r="A108" s="27">
        <v>10</v>
      </c>
      <c r="B108" s="28">
        <f t="shared" si="0"/>
        <v>3.1847133757961781</v>
      </c>
    </row>
    <row r="109" spans="1:2" x14ac:dyDescent="0.2">
      <c r="A109" s="27">
        <v>35</v>
      </c>
      <c r="B109" s="28">
        <f t="shared" si="0"/>
        <v>11.146496815286623</v>
      </c>
    </row>
    <row r="110" spans="1:2" x14ac:dyDescent="0.2">
      <c r="A110" s="27">
        <v>32</v>
      </c>
      <c r="B110" s="28">
        <f t="shared" si="0"/>
        <v>10.19108280254777</v>
      </c>
    </row>
    <row r="111" spans="1:2" x14ac:dyDescent="0.2">
      <c r="A111" s="27">
        <v>18</v>
      </c>
      <c r="B111" s="28">
        <f t="shared" si="0"/>
        <v>5.7324840764331206</v>
      </c>
    </row>
    <row r="112" spans="1:2" x14ac:dyDescent="0.2">
      <c r="A112" s="27">
        <v>30</v>
      </c>
      <c r="B112" s="28">
        <f t="shared" si="0"/>
        <v>9.5541401273885338</v>
      </c>
    </row>
    <row r="113" spans="1:2" x14ac:dyDescent="0.2">
      <c r="A113" s="27">
        <v>45</v>
      </c>
      <c r="B113" s="28">
        <f t="shared" si="0"/>
        <v>14.331210191082802</v>
      </c>
    </row>
    <row r="114" spans="1:2" x14ac:dyDescent="0.2">
      <c r="A114" s="27">
        <v>38</v>
      </c>
      <c r="B114" s="28">
        <f t="shared" si="0"/>
        <v>12.101910828025478</v>
      </c>
    </row>
    <row r="115" spans="1:2" x14ac:dyDescent="0.2">
      <c r="A115" s="27">
        <v>18</v>
      </c>
      <c r="B115" s="28">
        <f t="shared" si="0"/>
        <v>5.7324840764331206</v>
      </c>
    </row>
    <row r="116" spans="1:2" x14ac:dyDescent="0.2">
      <c r="A116" s="27">
        <v>18</v>
      </c>
      <c r="B116" s="28">
        <f t="shared" si="0"/>
        <v>5.7324840764331206</v>
      </c>
    </row>
    <row r="117" spans="1:2" x14ac:dyDescent="0.2">
      <c r="A117" s="27">
        <v>10</v>
      </c>
      <c r="B117" s="28">
        <f t="shared" si="0"/>
        <v>3.1847133757961781</v>
      </c>
    </row>
    <row r="118" spans="1:2" x14ac:dyDescent="0.2">
      <c r="A118" s="27">
        <v>10</v>
      </c>
      <c r="B118" s="28">
        <f t="shared" si="0"/>
        <v>3.1847133757961781</v>
      </c>
    </row>
    <row r="119" spans="1:2" x14ac:dyDescent="0.2">
      <c r="A119" s="27">
        <v>20</v>
      </c>
      <c r="B119" s="28">
        <f t="shared" si="0"/>
        <v>6.3694267515923562</v>
      </c>
    </row>
    <row r="120" spans="1:2" x14ac:dyDescent="0.2">
      <c r="A120" s="27">
        <v>20</v>
      </c>
      <c r="B120" s="28">
        <f t="shared" si="0"/>
        <v>6.3694267515923562</v>
      </c>
    </row>
    <row r="121" spans="1:2" x14ac:dyDescent="0.2">
      <c r="A121" s="27">
        <v>10</v>
      </c>
      <c r="B121" s="28">
        <f t="shared" si="0"/>
        <v>3.1847133757961781</v>
      </c>
    </row>
    <row r="122" spans="1:2" x14ac:dyDescent="0.2">
      <c r="A122" s="27">
        <v>10</v>
      </c>
      <c r="B122" s="28">
        <f t="shared" si="0"/>
        <v>3.1847133757961781</v>
      </c>
    </row>
    <row r="123" spans="1:2" x14ac:dyDescent="0.2">
      <c r="A123" s="27">
        <v>10</v>
      </c>
      <c r="B123" s="28">
        <f t="shared" si="0"/>
        <v>3.1847133757961781</v>
      </c>
    </row>
    <row r="124" spans="1:2" x14ac:dyDescent="0.2">
      <c r="A124" s="27">
        <v>33</v>
      </c>
      <c r="B124" s="28">
        <f t="shared" si="0"/>
        <v>10.509554140127388</v>
      </c>
    </row>
    <row r="125" spans="1:2" x14ac:dyDescent="0.2">
      <c r="A125" s="27">
        <v>25</v>
      </c>
      <c r="B125" s="28">
        <f t="shared" si="0"/>
        <v>7.9617834394904454</v>
      </c>
    </row>
    <row r="126" spans="1:2" x14ac:dyDescent="0.2">
      <c r="A126" s="27">
        <v>25</v>
      </c>
      <c r="B126" s="28">
        <f t="shared" si="0"/>
        <v>7.9617834394904454</v>
      </c>
    </row>
    <row r="127" spans="1:2" x14ac:dyDescent="0.2">
      <c r="A127" s="27">
        <v>25</v>
      </c>
      <c r="B127" s="28">
        <f t="shared" si="0"/>
        <v>7.9617834394904454</v>
      </c>
    </row>
    <row r="128" spans="1:2" x14ac:dyDescent="0.2">
      <c r="A128" s="27">
        <v>25</v>
      </c>
      <c r="B128" s="28">
        <f t="shared" si="0"/>
        <v>7.9617834394904454</v>
      </c>
    </row>
    <row r="129" spans="1:2" x14ac:dyDescent="0.2">
      <c r="A129" s="27">
        <v>12</v>
      </c>
      <c r="B129" s="28">
        <f t="shared" si="0"/>
        <v>3.8216560509554141</v>
      </c>
    </row>
    <row r="130" spans="1:2" x14ac:dyDescent="0.2">
      <c r="A130" s="27">
        <v>12</v>
      </c>
      <c r="B130" s="28">
        <f t="shared" si="0"/>
        <v>3.8216560509554141</v>
      </c>
    </row>
    <row r="131" spans="1:2" x14ac:dyDescent="0.2">
      <c r="A131" s="27">
        <v>12</v>
      </c>
      <c r="B131" s="28">
        <f t="shared" si="0"/>
        <v>3.8216560509554141</v>
      </c>
    </row>
    <row r="132" spans="1:2" x14ac:dyDescent="0.2">
      <c r="A132" s="27">
        <v>12</v>
      </c>
      <c r="B132" s="28">
        <f t="shared" si="0"/>
        <v>3.8216560509554141</v>
      </c>
    </row>
    <row r="133" spans="1:2" x14ac:dyDescent="0.2">
      <c r="A133" s="27">
        <v>15</v>
      </c>
      <c r="B133" s="28">
        <f t="shared" si="0"/>
        <v>4.7770700636942669</v>
      </c>
    </row>
    <row r="134" spans="1:2" x14ac:dyDescent="0.2">
      <c r="A134" s="27">
        <v>35</v>
      </c>
      <c r="B134" s="28">
        <f t="shared" si="0"/>
        <v>11.146496815286623</v>
      </c>
    </row>
    <row r="135" spans="1:2" x14ac:dyDescent="0.2">
      <c r="A135" s="27">
        <v>30</v>
      </c>
      <c r="B135" s="26">
        <f t="shared" si="0"/>
        <v>9.5541401273885338</v>
      </c>
    </row>
    <row r="136" spans="1:2" x14ac:dyDescent="0.2">
      <c r="A136" s="27">
        <v>30</v>
      </c>
      <c r="B136" s="26">
        <f t="shared" si="0"/>
        <v>9.5541401273885338</v>
      </c>
    </row>
    <row r="137" spans="1:2" x14ac:dyDescent="0.2">
      <c r="A137" s="27">
        <v>30</v>
      </c>
      <c r="B137" s="26">
        <f t="shared" si="0"/>
        <v>9.5541401273885338</v>
      </c>
    </row>
    <row r="138" spans="1:2" x14ac:dyDescent="0.2">
      <c r="A138" s="27">
        <v>30</v>
      </c>
      <c r="B138" s="26">
        <f t="shared" si="0"/>
        <v>9.5541401273885338</v>
      </c>
    </row>
    <row r="139" spans="1:2" x14ac:dyDescent="0.2">
      <c r="A139" s="27">
        <v>30</v>
      </c>
      <c r="B139" s="26">
        <f t="shared" si="0"/>
        <v>9.5541401273885338</v>
      </c>
    </row>
    <row r="140" spans="1:2" x14ac:dyDescent="0.2">
      <c r="A140" s="27">
        <v>30</v>
      </c>
      <c r="B140" s="26">
        <f t="shared" si="0"/>
        <v>9.5541401273885338</v>
      </c>
    </row>
    <row r="141" spans="1:2" x14ac:dyDescent="0.2">
      <c r="A141" s="27">
        <v>30</v>
      </c>
      <c r="B141" s="26">
        <f t="shared" si="0"/>
        <v>9.5541401273885338</v>
      </c>
    </row>
    <row r="142" spans="1:2" x14ac:dyDescent="0.2">
      <c r="A142" s="27">
        <v>30</v>
      </c>
      <c r="B142" s="26">
        <f t="shared" si="0"/>
        <v>9.5541401273885338</v>
      </c>
    </row>
    <row r="143" spans="1:2" x14ac:dyDescent="0.2">
      <c r="A143" s="27">
        <v>15</v>
      </c>
      <c r="B143" s="26">
        <f t="shared" si="0"/>
        <v>4.7770700636942669</v>
      </c>
    </row>
    <row r="144" spans="1:2" x14ac:dyDescent="0.2">
      <c r="A144" s="27">
        <v>15</v>
      </c>
      <c r="B144" s="26">
        <f t="shared" si="0"/>
        <v>4.7770700636942669</v>
      </c>
    </row>
    <row r="145" spans="1:2" x14ac:dyDescent="0.2">
      <c r="A145" s="27">
        <v>15</v>
      </c>
      <c r="B145" s="26">
        <f t="shared" si="0"/>
        <v>4.7770700636942669</v>
      </c>
    </row>
    <row r="146" spans="1:2" x14ac:dyDescent="0.2">
      <c r="A146" s="27">
        <v>15</v>
      </c>
      <c r="B146" s="26">
        <f t="shared" si="0"/>
        <v>4.7770700636942669</v>
      </c>
    </row>
    <row r="147" spans="1:2" x14ac:dyDescent="0.2">
      <c r="A147" s="27">
        <v>15</v>
      </c>
      <c r="B147" s="26">
        <f t="shared" si="0"/>
        <v>4.7770700636942669</v>
      </c>
    </row>
    <row r="148" spans="1:2" x14ac:dyDescent="0.2">
      <c r="A148" s="27">
        <v>15</v>
      </c>
      <c r="B148" s="26">
        <f t="shared" si="0"/>
        <v>4.7770700636942669</v>
      </c>
    </row>
    <row r="149" spans="1:2" x14ac:dyDescent="0.2">
      <c r="A149" s="27">
        <v>15</v>
      </c>
      <c r="B149" s="26">
        <f t="shared" si="0"/>
        <v>4.7770700636942669</v>
      </c>
    </row>
    <row r="150" spans="1:2" x14ac:dyDescent="0.2">
      <c r="A150" s="27">
        <v>15</v>
      </c>
      <c r="B150" s="26">
        <f t="shared" si="0"/>
        <v>4.7770700636942669</v>
      </c>
    </row>
    <row r="151" spans="1:2" x14ac:dyDescent="0.2">
      <c r="A151" s="27">
        <v>15</v>
      </c>
      <c r="B151" s="26">
        <f t="shared" si="0"/>
        <v>4.7770700636942669</v>
      </c>
    </row>
    <row r="152" spans="1:2" x14ac:dyDescent="0.2">
      <c r="A152" s="27">
        <v>15</v>
      </c>
      <c r="B152" s="26">
        <f t="shared" si="0"/>
        <v>4.7770700636942669</v>
      </c>
    </row>
    <row r="153" spans="1:2" x14ac:dyDescent="0.2">
      <c r="A153" s="27">
        <v>15</v>
      </c>
      <c r="B153" s="26">
        <f t="shared" si="0"/>
        <v>4.7770700636942669</v>
      </c>
    </row>
    <row r="154" spans="1:2" x14ac:dyDescent="0.2">
      <c r="A154" s="27">
        <v>15</v>
      </c>
      <c r="B154" s="26">
        <f t="shared" si="0"/>
        <v>4.7770700636942669</v>
      </c>
    </row>
    <row r="155" spans="1:2" x14ac:dyDescent="0.2">
      <c r="A155" s="27">
        <v>15</v>
      </c>
      <c r="B155" s="26">
        <f t="shared" si="0"/>
        <v>4.7770700636942669</v>
      </c>
    </row>
    <row r="156" spans="1:2" x14ac:dyDescent="0.2">
      <c r="A156" s="27">
        <v>15</v>
      </c>
      <c r="B156" s="26">
        <f t="shared" si="0"/>
        <v>4.7770700636942669</v>
      </c>
    </row>
    <row r="157" spans="1:2" x14ac:dyDescent="0.2">
      <c r="A157" s="27">
        <v>15</v>
      </c>
      <c r="B157" s="26">
        <f t="shared" si="0"/>
        <v>4.7770700636942669</v>
      </c>
    </row>
    <row r="158" spans="1:2" x14ac:dyDescent="0.2">
      <c r="A158" s="27">
        <v>15</v>
      </c>
      <c r="B158" s="26">
        <f t="shared" si="0"/>
        <v>4.7770700636942669</v>
      </c>
    </row>
    <row r="159" spans="1:2" x14ac:dyDescent="0.2">
      <c r="A159" s="27">
        <v>15</v>
      </c>
      <c r="B159" s="26">
        <f t="shared" si="0"/>
        <v>4.7770700636942669</v>
      </c>
    </row>
    <row r="160" spans="1:2" x14ac:dyDescent="0.2">
      <c r="A160" s="27">
        <v>30</v>
      </c>
      <c r="B160" s="26">
        <f t="shared" si="0"/>
        <v>9.5541401273885338</v>
      </c>
    </row>
    <row r="161" spans="1:2" x14ac:dyDescent="0.2">
      <c r="A161" s="27">
        <v>30</v>
      </c>
      <c r="B161" s="26">
        <f t="shared" si="0"/>
        <v>9.5541401273885338</v>
      </c>
    </row>
    <row r="162" spans="1:2" x14ac:dyDescent="0.2">
      <c r="A162" s="27">
        <v>30</v>
      </c>
      <c r="B162" s="26">
        <f t="shared" si="0"/>
        <v>9.5541401273885338</v>
      </c>
    </row>
    <row r="163" spans="1:2" x14ac:dyDescent="0.2">
      <c r="A163" s="27">
        <v>30</v>
      </c>
      <c r="B163" s="26">
        <f t="shared" si="0"/>
        <v>9.5541401273885338</v>
      </c>
    </row>
    <row r="164" spans="1:2" x14ac:dyDescent="0.2">
      <c r="A164" s="27">
        <v>30</v>
      </c>
      <c r="B164" s="26">
        <f t="shared" si="0"/>
        <v>9.5541401273885338</v>
      </c>
    </row>
    <row r="165" spans="1:2" x14ac:dyDescent="0.2">
      <c r="A165" s="27">
        <v>18</v>
      </c>
      <c r="B165" s="26">
        <f t="shared" si="0"/>
        <v>5.7324840764331206</v>
      </c>
    </row>
    <row r="166" spans="1:2" x14ac:dyDescent="0.2">
      <c r="A166" s="27">
        <v>20</v>
      </c>
      <c r="B166" s="26">
        <f t="shared" si="0"/>
        <v>6.3694267515923562</v>
      </c>
    </row>
    <row r="167" spans="1:2" x14ac:dyDescent="0.2">
      <c r="A167" s="27">
        <v>20</v>
      </c>
      <c r="B167" s="26">
        <f t="shared" si="0"/>
        <v>6.3694267515923562</v>
      </c>
    </row>
    <row r="168" spans="1:2" x14ac:dyDescent="0.2">
      <c r="A168" s="27">
        <v>18</v>
      </c>
      <c r="B168" s="26">
        <f t="shared" si="0"/>
        <v>5.7324840764331206</v>
      </c>
    </row>
    <row r="169" spans="1:2" x14ac:dyDescent="0.2">
      <c r="A169" s="27">
        <v>15</v>
      </c>
      <c r="B169" s="26">
        <f t="shared" si="0"/>
        <v>4.7770700636942669</v>
      </c>
    </row>
    <row r="170" spans="1:2" x14ac:dyDescent="0.2">
      <c r="A170" s="27">
        <v>38</v>
      </c>
      <c r="B170" s="26">
        <f t="shared" si="0"/>
        <v>12.101910828025478</v>
      </c>
    </row>
    <row r="171" spans="1:2" x14ac:dyDescent="0.2">
      <c r="A171" s="27">
        <v>20</v>
      </c>
      <c r="B171" s="26">
        <f t="shared" si="0"/>
        <v>6.3694267515923562</v>
      </c>
    </row>
    <row r="172" spans="1:2" x14ac:dyDescent="0.2">
      <c r="A172" s="27">
        <v>20</v>
      </c>
      <c r="B172" s="26">
        <f t="shared" si="0"/>
        <v>6.3694267515923562</v>
      </c>
    </row>
    <row r="173" spans="1:2" x14ac:dyDescent="0.2">
      <c r="A173" s="27">
        <v>20</v>
      </c>
      <c r="B173" s="26">
        <f t="shared" si="0"/>
        <v>6.3694267515923562</v>
      </c>
    </row>
    <row r="174" spans="1:2" x14ac:dyDescent="0.2">
      <c r="A174" s="27">
        <v>28</v>
      </c>
      <c r="B174" s="26">
        <f t="shared" si="0"/>
        <v>8.9171974522292992</v>
      </c>
    </row>
    <row r="175" spans="1:2" x14ac:dyDescent="0.2">
      <c r="A175" s="27">
        <v>28</v>
      </c>
      <c r="B175" s="26">
        <f t="shared" si="0"/>
        <v>8.9171974522292992</v>
      </c>
    </row>
    <row r="176" spans="1:2" x14ac:dyDescent="0.2">
      <c r="A176" s="27">
        <v>30</v>
      </c>
      <c r="B176" s="26">
        <f t="shared" si="0"/>
        <v>9.5541401273885338</v>
      </c>
    </row>
    <row r="177" spans="1:2" x14ac:dyDescent="0.2">
      <c r="A177" s="27">
        <v>28</v>
      </c>
      <c r="B177" s="26">
        <f t="shared" si="0"/>
        <v>8.9171974522292992</v>
      </c>
    </row>
    <row r="178" spans="1:2" x14ac:dyDescent="0.2">
      <c r="A178" s="27">
        <v>30</v>
      </c>
      <c r="B178" s="26">
        <f t="shared" si="0"/>
        <v>9.5541401273885338</v>
      </c>
    </row>
    <row r="179" spans="1:2" x14ac:dyDescent="0.2">
      <c r="A179" s="27">
        <v>22</v>
      </c>
      <c r="B179" s="26">
        <f t="shared" si="0"/>
        <v>7.0063694267515917</v>
      </c>
    </row>
    <row r="180" spans="1:2" x14ac:dyDescent="0.2">
      <c r="A180" s="27">
        <v>22</v>
      </c>
      <c r="B180" s="26">
        <f t="shared" si="0"/>
        <v>7.0063694267515917</v>
      </c>
    </row>
    <row r="181" spans="1:2" x14ac:dyDescent="0.2">
      <c r="A181" s="27">
        <v>22</v>
      </c>
      <c r="B181" s="26">
        <f t="shared" si="0"/>
        <v>7.0063694267515917</v>
      </c>
    </row>
    <row r="182" spans="1:2" x14ac:dyDescent="0.2">
      <c r="A182" s="27">
        <v>22</v>
      </c>
      <c r="B182" s="26">
        <f t="shared" si="0"/>
        <v>7.0063694267515917</v>
      </c>
    </row>
    <row r="183" spans="1:2" x14ac:dyDescent="0.2">
      <c r="A183" s="27">
        <v>25</v>
      </c>
      <c r="B183" s="26">
        <f t="shared" si="0"/>
        <v>7.9617834394904454</v>
      </c>
    </row>
    <row r="184" spans="1:2" x14ac:dyDescent="0.2">
      <c r="A184" s="27">
        <v>25</v>
      </c>
      <c r="B184" s="26">
        <f t="shared" si="0"/>
        <v>7.9617834394904454</v>
      </c>
    </row>
    <row r="185" spans="1:2" x14ac:dyDescent="0.2">
      <c r="A185" s="27">
        <v>30</v>
      </c>
      <c r="B185" s="26">
        <f t="shared" si="0"/>
        <v>9.5541401273885338</v>
      </c>
    </row>
    <row r="186" spans="1:2" x14ac:dyDescent="0.2">
      <c r="A186" s="27">
        <v>12</v>
      </c>
      <c r="B186" s="26">
        <f t="shared" si="0"/>
        <v>3.8216560509554141</v>
      </c>
    </row>
    <row r="187" spans="1:2" x14ac:dyDescent="0.2">
      <c r="A187" s="27">
        <v>15</v>
      </c>
      <c r="B187" s="26">
        <f t="shared" si="0"/>
        <v>4.7770700636942669</v>
      </c>
    </row>
    <row r="188" spans="1:2" x14ac:dyDescent="0.2">
      <c r="A188" s="27">
        <v>14</v>
      </c>
      <c r="B188" s="26">
        <f t="shared" si="0"/>
        <v>4.4585987261146496</v>
      </c>
    </row>
    <row r="189" spans="1:2" x14ac:dyDescent="0.2">
      <c r="A189" s="27">
        <v>15</v>
      </c>
      <c r="B189" s="26">
        <f t="shared" si="0"/>
        <v>4.7770700636942669</v>
      </c>
    </row>
    <row r="190" spans="1:2" x14ac:dyDescent="0.2">
      <c r="A190" s="27">
        <v>12</v>
      </c>
      <c r="B190" s="26">
        <f t="shared" si="0"/>
        <v>3.8216560509554141</v>
      </c>
    </row>
    <row r="191" spans="1:2" x14ac:dyDescent="0.2">
      <c r="A191" s="27">
        <v>32</v>
      </c>
      <c r="B191" s="26">
        <f t="shared" si="0"/>
        <v>10.19108280254777</v>
      </c>
    </row>
    <row r="192" spans="1:2" x14ac:dyDescent="0.2">
      <c r="A192" s="27">
        <v>10</v>
      </c>
      <c r="B192" s="26">
        <f t="shared" si="0"/>
        <v>3.1847133757961781</v>
      </c>
    </row>
    <row r="193" spans="1:2" x14ac:dyDescent="0.2">
      <c r="A193" s="27">
        <v>10</v>
      </c>
      <c r="B193" s="26">
        <f t="shared" si="0"/>
        <v>3.1847133757961781</v>
      </c>
    </row>
    <row r="194" spans="1:2" x14ac:dyDescent="0.2">
      <c r="A194" s="27">
        <v>10</v>
      </c>
      <c r="B194" s="26">
        <f t="shared" si="0"/>
        <v>3.1847133757961781</v>
      </c>
    </row>
    <row r="195" spans="1:2" x14ac:dyDescent="0.2">
      <c r="A195" s="27">
        <v>10</v>
      </c>
      <c r="B195" s="26">
        <f t="shared" si="0"/>
        <v>3.1847133757961781</v>
      </c>
    </row>
    <row r="196" spans="1:2" x14ac:dyDescent="0.2">
      <c r="A196" s="27">
        <v>10</v>
      </c>
      <c r="B196" s="26">
        <f t="shared" si="0"/>
        <v>3.1847133757961781</v>
      </c>
    </row>
    <row r="197" spans="1:2" x14ac:dyDescent="0.2">
      <c r="A197" s="27">
        <v>10</v>
      </c>
      <c r="B197" s="26">
        <f t="shared" si="0"/>
        <v>3.1847133757961781</v>
      </c>
    </row>
    <row r="198" spans="1:2" x14ac:dyDescent="0.2">
      <c r="A198" s="27">
        <v>10</v>
      </c>
      <c r="B198" s="26">
        <f t="shared" si="0"/>
        <v>3.1847133757961781</v>
      </c>
    </row>
    <row r="199" spans="1:2" x14ac:dyDescent="0.2">
      <c r="A199" s="27">
        <v>10</v>
      </c>
      <c r="B199" s="26">
        <f t="shared" si="0"/>
        <v>3.1847133757961781</v>
      </c>
    </row>
    <row r="200" spans="1:2" x14ac:dyDescent="0.2">
      <c r="A200" s="27">
        <v>40</v>
      </c>
      <c r="B200" s="26">
        <f t="shared" si="0"/>
        <v>12.738853503184712</v>
      </c>
    </row>
    <row r="201" spans="1:2" x14ac:dyDescent="0.2">
      <c r="A201" s="27">
        <v>22</v>
      </c>
      <c r="B201" s="26">
        <f t="shared" si="0"/>
        <v>7.0063694267515917</v>
      </c>
    </row>
    <row r="202" spans="1:2" x14ac:dyDescent="0.2">
      <c r="A202" s="27">
        <v>22</v>
      </c>
      <c r="B202" s="26">
        <f t="shared" si="0"/>
        <v>7.0063694267515917</v>
      </c>
    </row>
    <row r="203" spans="1:2" x14ac:dyDescent="0.2">
      <c r="A203" s="27">
        <v>22</v>
      </c>
      <c r="B203" s="26">
        <f t="shared" si="0"/>
        <v>7.0063694267515917</v>
      </c>
    </row>
    <row r="204" spans="1:2" x14ac:dyDescent="0.2">
      <c r="A204" s="27">
        <v>22</v>
      </c>
      <c r="B204" s="26">
        <f t="shared" si="0"/>
        <v>7.0063694267515917</v>
      </c>
    </row>
    <row r="205" spans="1:2" x14ac:dyDescent="0.2">
      <c r="A205" s="27">
        <v>22</v>
      </c>
      <c r="B205" s="26">
        <f t="shared" si="0"/>
        <v>7.0063694267515917</v>
      </c>
    </row>
    <row r="206" spans="1:2" x14ac:dyDescent="0.2">
      <c r="A206" s="27">
        <v>30</v>
      </c>
      <c r="B206" s="26">
        <f t="shared" si="0"/>
        <v>9.5541401273885338</v>
      </c>
    </row>
    <row r="207" spans="1:2" x14ac:dyDescent="0.2">
      <c r="A207" s="27">
        <v>20</v>
      </c>
      <c r="B207" s="26">
        <f t="shared" si="0"/>
        <v>6.3694267515923562</v>
      </c>
    </row>
    <row r="208" spans="1:2" x14ac:dyDescent="0.2">
      <c r="A208" s="27">
        <v>20</v>
      </c>
      <c r="B208" s="26">
        <f t="shared" si="0"/>
        <v>6.3694267515923562</v>
      </c>
    </row>
    <row r="209" spans="1:2" x14ac:dyDescent="0.2">
      <c r="A209" s="27">
        <v>13</v>
      </c>
      <c r="B209" s="26">
        <f t="shared" si="0"/>
        <v>4.1401273885350314</v>
      </c>
    </row>
    <row r="210" spans="1:2" x14ac:dyDescent="0.2">
      <c r="A210" s="27">
        <v>20</v>
      </c>
      <c r="B210" s="26">
        <f t="shared" si="0"/>
        <v>6.3694267515923562</v>
      </c>
    </row>
    <row r="211" spans="1:2" x14ac:dyDescent="0.2">
      <c r="A211" s="27">
        <v>13</v>
      </c>
      <c r="B211" s="26">
        <f t="shared" si="0"/>
        <v>4.1401273885350314</v>
      </c>
    </row>
    <row r="212" spans="1:2" x14ac:dyDescent="0.2">
      <c r="A212" s="27">
        <v>40</v>
      </c>
      <c r="B212" s="26">
        <f t="shared" si="0"/>
        <v>12.738853503184712</v>
      </c>
    </row>
    <row r="213" spans="1:2" x14ac:dyDescent="0.2">
      <c r="A213" s="27">
        <v>40</v>
      </c>
      <c r="B213" s="26">
        <f t="shared" si="0"/>
        <v>12.738853503184712</v>
      </c>
    </row>
    <row r="214" spans="1:2" x14ac:dyDescent="0.2">
      <c r="A214" s="27">
        <v>35</v>
      </c>
      <c r="B214" s="26">
        <f t="shared" si="0"/>
        <v>11.146496815286623</v>
      </c>
    </row>
    <row r="215" spans="1:2" x14ac:dyDescent="0.2">
      <c r="A215" s="27">
        <v>35</v>
      </c>
      <c r="B215" s="26">
        <f t="shared" si="0"/>
        <v>11.146496815286623</v>
      </c>
    </row>
    <row r="216" spans="1:2" x14ac:dyDescent="0.2">
      <c r="A216" s="27">
        <v>35</v>
      </c>
      <c r="B216" s="26">
        <f t="shared" si="0"/>
        <v>11.146496815286623</v>
      </c>
    </row>
    <row r="217" spans="1:2" x14ac:dyDescent="0.2">
      <c r="A217" s="27">
        <v>35</v>
      </c>
      <c r="B217" s="26">
        <f t="shared" si="0"/>
        <v>11.146496815286623</v>
      </c>
    </row>
    <row r="218" spans="1:2" x14ac:dyDescent="0.2">
      <c r="A218" s="27">
        <v>40</v>
      </c>
      <c r="B218" s="26">
        <f t="shared" si="0"/>
        <v>12.738853503184712</v>
      </c>
    </row>
    <row r="219" spans="1:2" x14ac:dyDescent="0.2">
      <c r="A219" s="27">
        <v>30</v>
      </c>
      <c r="B219" s="26">
        <f t="shared" si="0"/>
        <v>9.5541401273885338</v>
      </c>
    </row>
    <row r="220" spans="1:2" x14ac:dyDescent="0.2">
      <c r="A220" s="27">
        <v>30</v>
      </c>
      <c r="B220" s="26">
        <f t="shared" si="0"/>
        <v>9.5541401273885338</v>
      </c>
    </row>
    <row r="221" spans="1:2" x14ac:dyDescent="0.2">
      <c r="A221" s="27">
        <v>22</v>
      </c>
      <c r="B221" s="26">
        <f t="shared" si="0"/>
        <v>7.0063694267515917</v>
      </c>
    </row>
    <row r="222" spans="1:2" x14ac:dyDescent="0.2">
      <c r="A222" s="27">
        <v>22</v>
      </c>
      <c r="B222" s="26">
        <f t="shared" si="0"/>
        <v>7.0063694267515917</v>
      </c>
    </row>
    <row r="223" spans="1:2" x14ac:dyDescent="0.2">
      <c r="A223" s="27">
        <v>12</v>
      </c>
      <c r="B223" s="26">
        <f t="shared" si="0"/>
        <v>3.8216560509554141</v>
      </c>
    </row>
    <row r="224" spans="1:2" x14ac:dyDescent="0.2">
      <c r="A224" s="27">
        <v>10</v>
      </c>
      <c r="B224" s="26">
        <f t="shared" si="0"/>
        <v>3.1847133757961781</v>
      </c>
    </row>
    <row r="225" spans="1:2" x14ac:dyDescent="0.2">
      <c r="A225" s="27">
        <v>12</v>
      </c>
      <c r="B225" s="26">
        <f t="shared" si="0"/>
        <v>3.8216560509554141</v>
      </c>
    </row>
    <row r="226" spans="1:2" x14ac:dyDescent="0.2">
      <c r="A226" s="27">
        <v>15</v>
      </c>
      <c r="B226" s="26">
        <f t="shared" si="0"/>
        <v>4.7770700636942669</v>
      </c>
    </row>
    <row r="227" spans="1:2" x14ac:dyDescent="0.2">
      <c r="A227" s="27">
        <v>16</v>
      </c>
      <c r="B227" s="26">
        <f t="shared" si="0"/>
        <v>5.0955414012738851</v>
      </c>
    </row>
    <row r="228" spans="1:2" x14ac:dyDescent="0.2">
      <c r="A228" s="27">
        <v>12</v>
      </c>
      <c r="B228" s="26">
        <f t="shared" si="0"/>
        <v>3.8216560509554141</v>
      </c>
    </row>
    <row r="229" spans="1:2" x14ac:dyDescent="0.2">
      <c r="A229" s="27">
        <v>25</v>
      </c>
      <c r="B229" s="26">
        <f t="shared" si="0"/>
        <v>7.9617834394904454</v>
      </c>
    </row>
    <row r="230" spans="1:2" x14ac:dyDescent="0.2">
      <c r="A230" s="27">
        <v>25</v>
      </c>
      <c r="B230" s="26">
        <f t="shared" si="0"/>
        <v>7.9617834394904454</v>
      </c>
    </row>
    <row r="231" spans="1:2" x14ac:dyDescent="0.2">
      <c r="A231" s="27">
        <v>14</v>
      </c>
      <c r="B231" s="26">
        <f t="shared" si="0"/>
        <v>4.4585987261146496</v>
      </c>
    </row>
    <row r="232" spans="1:2" x14ac:dyDescent="0.2">
      <c r="A232" s="27">
        <v>14</v>
      </c>
      <c r="B232" s="26">
        <f t="shared" si="0"/>
        <v>4.4585987261146496</v>
      </c>
    </row>
    <row r="233" spans="1:2" x14ac:dyDescent="0.2">
      <c r="A233" s="27">
        <v>14</v>
      </c>
      <c r="B233" s="26">
        <f t="shared" si="0"/>
        <v>4.4585987261146496</v>
      </c>
    </row>
    <row r="234" spans="1:2" x14ac:dyDescent="0.2">
      <c r="A234" s="27">
        <v>30</v>
      </c>
      <c r="B234" s="26">
        <f t="shared" si="0"/>
        <v>9.5541401273885338</v>
      </c>
    </row>
    <row r="235" spans="1:2" x14ac:dyDescent="0.2">
      <c r="A235" s="27">
        <v>30</v>
      </c>
      <c r="B235" s="26">
        <f t="shared" si="0"/>
        <v>9.5541401273885338</v>
      </c>
    </row>
    <row r="236" spans="1:2" x14ac:dyDescent="0.2">
      <c r="A236" s="27">
        <v>13</v>
      </c>
      <c r="B236" s="26">
        <f t="shared" si="0"/>
        <v>4.1401273885350314</v>
      </c>
    </row>
    <row r="237" spans="1:2" x14ac:dyDescent="0.2">
      <c r="A237" s="27">
        <v>13</v>
      </c>
      <c r="B237" s="26">
        <f t="shared" si="0"/>
        <v>4.1401273885350314</v>
      </c>
    </row>
    <row r="238" spans="1:2" x14ac:dyDescent="0.2">
      <c r="A238" s="27">
        <v>30</v>
      </c>
      <c r="B238" s="26">
        <f t="shared" si="0"/>
        <v>9.5541401273885338</v>
      </c>
    </row>
    <row r="239" spans="1:2" x14ac:dyDescent="0.2">
      <c r="A239" s="27">
        <v>13</v>
      </c>
      <c r="B239" s="26">
        <f t="shared" si="0"/>
        <v>4.1401273885350314</v>
      </c>
    </row>
    <row r="240" spans="1:2" x14ac:dyDescent="0.2">
      <c r="A240" s="27">
        <v>30</v>
      </c>
      <c r="B240" s="26">
        <f t="shared" si="0"/>
        <v>9.5541401273885338</v>
      </c>
    </row>
    <row r="241" spans="1:3" x14ac:dyDescent="0.2">
      <c r="A241" s="27">
        <v>15</v>
      </c>
      <c r="B241" s="26">
        <f t="shared" si="0"/>
        <v>4.7770700636942669</v>
      </c>
    </row>
    <row r="242" spans="1:3" x14ac:dyDescent="0.2">
      <c r="A242" s="27">
        <v>15</v>
      </c>
      <c r="B242" s="26">
        <f t="shared" si="0"/>
        <v>4.7770700636942669</v>
      </c>
    </row>
    <row r="243" spans="1:3" x14ac:dyDescent="0.2">
      <c r="A243" s="27">
        <v>35</v>
      </c>
      <c r="B243" s="26">
        <f t="shared" si="0"/>
        <v>11.146496815286623</v>
      </c>
    </row>
    <row r="244" spans="1:3" x14ac:dyDescent="0.2">
      <c r="A244" s="27">
        <v>35</v>
      </c>
      <c r="B244" s="26">
        <f t="shared" si="0"/>
        <v>11.146496815286623</v>
      </c>
    </row>
    <row r="245" spans="1:3" x14ac:dyDescent="0.2">
      <c r="A245" s="27">
        <v>35</v>
      </c>
      <c r="B245" s="26">
        <f t="shared" si="0"/>
        <v>11.146496815286623</v>
      </c>
    </row>
    <row r="246" spans="1:3" x14ac:dyDescent="0.2">
      <c r="A246" s="27">
        <v>35</v>
      </c>
      <c r="B246" s="26">
        <f t="shared" si="0"/>
        <v>11.146496815286623</v>
      </c>
    </row>
    <row r="247" spans="1:3" x14ac:dyDescent="0.2">
      <c r="A247" s="27">
        <v>10</v>
      </c>
      <c r="B247" s="26">
        <f t="shared" si="0"/>
        <v>3.1847133757961781</v>
      </c>
    </row>
    <row r="248" spans="1:3" x14ac:dyDescent="0.2">
      <c r="A248" s="27">
        <v>10</v>
      </c>
      <c r="B248" s="26">
        <f t="shared" si="0"/>
        <v>3.1847133757961781</v>
      </c>
    </row>
    <row r="249" spans="1:3" x14ac:dyDescent="0.2">
      <c r="A249" s="27">
        <v>10</v>
      </c>
      <c r="B249" s="26">
        <f t="shared" si="0"/>
        <v>3.1847133757961781</v>
      </c>
    </row>
    <row r="250" spans="1:3" x14ac:dyDescent="0.2">
      <c r="A250" s="27">
        <v>10</v>
      </c>
      <c r="B250" s="26">
        <f t="shared" si="0"/>
        <v>3.1847133757961781</v>
      </c>
    </row>
    <row r="251" spans="1:3" x14ac:dyDescent="0.2">
      <c r="A251" s="27">
        <v>10</v>
      </c>
      <c r="B251" s="26">
        <f t="shared" si="0"/>
        <v>3.1847133757961781</v>
      </c>
      <c r="C251">
        <v>4</v>
      </c>
    </row>
    <row r="252" spans="1:3" x14ac:dyDescent="0.2">
      <c r="A252" s="27">
        <v>40</v>
      </c>
      <c r="B252" s="26">
        <f t="shared" si="0"/>
        <v>12.738853503184712</v>
      </c>
    </row>
    <row r="253" spans="1:3" x14ac:dyDescent="0.2">
      <c r="A253" s="27">
        <v>40</v>
      </c>
      <c r="B253" s="26">
        <f t="shared" si="0"/>
        <v>12.738853503184712</v>
      </c>
    </row>
    <row r="254" spans="1:3" x14ac:dyDescent="0.2">
      <c r="A254" s="27">
        <v>40</v>
      </c>
      <c r="B254" s="26">
        <f t="shared" si="0"/>
        <v>12.738853503184712</v>
      </c>
    </row>
    <row r="255" spans="1:3" x14ac:dyDescent="0.2">
      <c r="A255" s="27">
        <v>40</v>
      </c>
      <c r="B255" s="26">
        <f t="shared" si="0"/>
        <v>12.738853503184712</v>
      </c>
    </row>
    <row r="256" spans="1:3" x14ac:dyDescent="0.2">
      <c r="A256" s="27">
        <v>40</v>
      </c>
      <c r="B256" s="26">
        <f t="shared" si="0"/>
        <v>12.738853503184712</v>
      </c>
    </row>
    <row r="257" spans="1:3" x14ac:dyDescent="0.2">
      <c r="A257" s="27">
        <v>15</v>
      </c>
      <c r="B257" s="26">
        <f t="shared" si="0"/>
        <v>4.7770700636942669</v>
      </c>
    </row>
    <row r="258" spans="1:3" x14ac:dyDescent="0.2">
      <c r="A258" s="27">
        <v>15</v>
      </c>
      <c r="B258" s="26">
        <f t="shared" ref="B258:B278" si="1">A258/3.14</f>
        <v>4.7770700636942669</v>
      </c>
    </row>
    <row r="259" spans="1:3" x14ac:dyDescent="0.2">
      <c r="A259" s="27">
        <v>15</v>
      </c>
      <c r="B259" s="26">
        <f t="shared" si="1"/>
        <v>4.7770700636942669</v>
      </c>
    </row>
    <row r="260" spans="1:3" x14ac:dyDescent="0.2">
      <c r="A260" s="27">
        <v>40</v>
      </c>
      <c r="B260" s="26">
        <f t="shared" si="1"/>
        <v>12.738853503184712</v>
      </c>
    </row>
    <row r="261" spans="1:3" x14ac:dyDescent="0.2">
      <c r="A261" s="27">
        <v>40</v>
      </c>
      <c r="B261" s="26">
        <f t="shared" si="1"/>
        <v>12.738853503184712</v>
      </c>
    </row>
    <row r="262" spans="1:3" x14ac:dyDescent="0.2">
      <c r="A262" s="27">
        <v>40</v>
      </c>
      <c r="B262" s="26">
        <f t="shared" si="1"/>
        <v>12.738853503184712</v>
      </c>
      <c r="C262">
        <v>4</v>
      </c>
    </row>
    <row r="263" spans="1:3" x14ac:dyDescent="0.2">
      <c r="A263" s="27">
        <v>98</v>
      </c>
      <c r="B263" s="28">
        <f t="shared" si="1"/>
        <v>31.210191082802545</v>
      </c>
    </row>
    <row r="264" spans="1:3" x14ac:dyDescent="0.2">
      <c r="A264" s="27">
        <v>110</v>
      </c>
      <c r="B264" s="28">
        <f t="shared" si="1"/>
        <v>35.031847133757964</v>
      </c>
    </row>
    <row r="265" spans="1:3" x14ac:dyDescent="0.2">
      <c r="A265" s="27">
        <v>20</v>
      </c>
      <c r="B265" s="28">
        <f t="shared" si="1"/>
        <v>6.3694267515923562</v>
      </c>
    </row>
    <row r="266" spans="1:3" x14ac:dyDescent="0.2">
      <c r="A266" s="27">
        <v>20</v>
      </c>
      <c r="B266" s="28">
        <f t="shared" si="1"/>
        <v>6.3694267515923562</v>
      </c>
    </row>
    <row r="267" spans="1:3" x14ac:dyDescent="0.2">
      <c r="A267" s="27">
        <v>80</v>
      </c>
      <c r="B267" s="28">
        <f t="shared" si="1"/>
        <v>25.477707006369425</v>
      </c>
    </row>
    <row r="268" spans="1:3" x14ac:dyDescent="0.2">
      <c r="A268" s="27">
        <v>45</v>
      </c>
      <c r="B268" s="28">
        <f t="shared" si="1"/>
        <v>14.331210191082802</v>
      </c>
    </row>
    <row r="269" spans="1:3" x14ac:dyDescent="0.2">
      <c r="A269" s="27">
        <v>67</v>
      </c>
      <c r="B269" s="28">
        <f t="shared" si="1"/>
        <v>21.337579617834393</v>
      </c>
    </row>
    <row r="270" spans="1:3" x14ac:dyDescent="0.2">
      <c r="A270" s="27">
        <v>115</v>
      </c>
      <c r="B270" s="28">
        <f t="shared" si="1"/>
        <v>36.624203821656053</v>
      </c>
    </row>
    <row r="271" spans="1:3" x14ac:dyDescent="0.2">
      <c r="A271" s="27">
        <v>50</v>
      </c>
      <c r="B271" s="28">
        <f t="shared" si="1"/>
        <v>15.923566878980891</v>
      </c>
      <c r="C271">
        <v>4</v>
      </c>
    </row>
    <row r="272" spans="1:3" x14ac:dyDescent="0.2">
      <c r="A272" s="27">
        <v>16</v>
      </c>
      <c r="B272" s="28">
        <f t="shared" si="1"/>
        <v>5.0955414012738851</v>
      </c>
      <c r="C272">
        <v>3</v>
      </c>
    </row>
    <row r="273" spans="1:3" x14ac:dyDescent="0.2">
      <c r="A273" s="27">
        <v>16</v>
      </c>
      <c r="B273" s="28">
        <f t="shared" si="1"/>
        <v>5.0955414012738851</v>
      </c>
      <c r="C273">
        <v>15</v>
      </c>
    </row>
    <row r="274" spans="1:3" x14ac:dyDescent="0.2">
      <c r="A274" s="27">
        <v>180</v>
      </c>
      <c r="B274" s="28">
        <f t="shared" si="1"/>
        <v>57.324840764331206</v>
      </c>
    </row>
    <row r="275" spans="1:3" x14ac:dyDescent="0.2">
      <c r="A275" s="27">
        <v>195</v>
      </c>
      <c r="B275" s="26">
        <f t="shared" si="1"/>
        <v>62.101910828025474</v>
      </c>
    </row>
    <row r="276" spans="1:3" x14ac:dyDescent="0.2">
      <c r="A276" s="27">
        <v>210</v>
      </c>
      <c r="B276" s="26">
        <f t="shared" si="1"/>
        <v>66.878980891719749</v>
      </c>
    </row>
    <row r="277" spans="1:3" x14ac:dyDescent="0.2">
      <c r="A277" s="27">
        <v>260</v>
      </c>
      <c r="B277" s="26">
        <f t="shared" si="1"/>
        <v>82.802547770700627</v>
      </c>
    </row>
    <row r="278" spans="1:3" x14ac:dyDescent="0.2">
      <c r="A278" s="27">
        <v>200</v>
      </c>
      <c r="B278" s="26">
        <f t="shared" si="1"/>
        <v>63.694267515923563</v>
      </c>
    </row>
  </sheetData>
  <autoFilter ref="A1:C27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3" sqref="K3:K10"/>
    </sheetView>
  </sheetViews>
  <sheetFormatPr defaultRowHeight="12.75" x14ac:dyDescent="0.2"/>
  <cols>
    <col min="1" max="1" width="22.42578125" customWidth="1"/>
    <col min="2" max="4" width="15.7109375" style="29" customWidth="1"/>
    <col min="5" max="5" width="14" customWidth="1"/>
    <col min="7" max="7" width="16.85546875" customWidth="1"/>
    <col min="8" max="8" width="11.7109375" customWidth="1"/>
  </cols>
  <sheetData>
    <row r="1" spans="1:11" x14ac:dyDescent="0.2">
      <c r="B1" s="29" t="s">
        <v>65</v>
      </c>
      <c r="D1" s="29" t="s">
        <v>66</v>
      </c>
      <c r="F1" s="1" t="s">
        <v>82</v>
      </c>
      <c r="G1" s="1" t="s">
        <v>81</v>
      </c>
      <c r="I1" s="1" t="s">
        <v>83</v>
      </c>
      <c r="J1" s="1" t="s">
        <v>84</v>
      </c>
      <c r="K1" s="1" t="s">
        <v>85</v>
      </c>
    </row>
    <row r="3" spans="1:11" x14ac:dyDescent="0.2">
      <c r="A3" t="s">
        <v>64</v>
      </c>
      <c r="B3" s="29">
        <v>4277</v>
      </c>
      <c r="C3" s="29">
        <f>11806.5-8700</f>
        <v>3106.5</v>
      </c>
      <c r="D3" s="29">
        <v>958</v>
      </c>
      <c r="F3">
        <v>100</v>
      </c>
      <c r="G3" s="29">
        <v>4277</v>
      </c>
      <c r="H3" s="29">
        <f>11806.5-8700</f>
        <v>3106.5</v>
      </c>
      <c r="I3" s="29">
        <v>764</v>
      </c>
      <c r="J3" s="29">
        <f>211+45*4</f>
        <v>391</v>
      </c>
      <c r="K3">
        <f>46*4</f>
        <v>184</v>
      </c>
    </row>
    <row r="4" spans="1:11" x14ac:dyDescent="0.2">
      <c r="A4" t="s">
        <v>67</v>
      </c>
      <c r="B4" s="29">
        <v>4799</v>
      </c>
      <c r="C4" s="29">
        <v>210</v>
      </c>
      <c r="D4" s="29">
        <v>2330</v>
      </c>
      <c r="F4" s="29">
        <v>290</v>
      </c>
      <c r="G4" s="29">
        <v>4799</v>
      </c>
      <c r="H4" s="29"/>
      <c r="I4" s="29"/>
      <c r="K4">
        <v>60.5</v>
      </c>
    </row>
    <row r="5" spans="1:11" x14ac:dyDescent="0.2">
      <c r="A5" t="s">
        <v>68</v>
      </c>
      <c r="B5" s="29">
        <v>9340</v>
      </c>
      <c r="C5" s="29">
        <v>290</v>
      </c>
      <c r="D5" s="29">
        <v>1151</v>
      </c>
      <c r="E5" s="1" t="s">
        <v>76</v>
      </c>
      <c r="F5" s="29">
        <f>220</f>
        <v>220</v>
      </c>
      <c r="G5" s="29">
        <v>9340</v>
      </c>
      <c r="H5" s="29"/>
      <c r="I5" s="29">
        <v>958</v>
      </c>
      <c r="K5">
        <v>40</v>
      </c>
    </row>
    <row r="6" spans="1:11" x14ac:dyDescent="0.2">
      <c r="A6" t="s">
        <v>69</v>
      </c>
      <c r="B6" s="29">
        <v>1428</v>
      </c>
      <c r="C6" s="29">
        <v>191</v>
      </c>
      <c r="F6">
        <v>290</v>
      </c>
      <c r="G6" s="29">
        <v>1428</v>
      </c>
      <c r="H6" s="29"/>
      <c r="I6" s="29">
        <v>638</v>
      </c>
      <c r="K6" s="29">
        <v>120</v>
      </c>
    </row>
    <row r="7" spans="1:11" x14ac:dyDescent="0.2">
      <c r="A7" t="s">
        <v>70</v>
      </c>
      <c r="B7" s="29">
        <v>4801.5</v>
      </c>
      <c r="C7" s="29">
        <v>-90</v>
      </c>
      <c r="D7" s="29">
        <v>871</v>
      </c>
      <c r="E7" t="s">
        <v>73</v>
      </c>
      <c r="F7" s="29">
        <v>180</v>
      </c>
      <c r="G7" s="29">
        <v>4801.5</v>
      </c>
      <c r="H7" s="29">
        <v>-90</v>
      </c>
      <c r="I7" s="29">
        <v>1096</v>
      </c>
      <c r="K7">
        <f>100</f>
        <v>100</v>
      </c>
    </row>
    <row r="8" spans="1:11" x14ac:dyDescent="0.2">
      <c r="C8" s="29">
        <v>-30</v>
      </c>
      <c r="D8" s="29">
        <v>247</v>
      </c>
      <c r="F8" s="30">
        <v>290</v>
      </c>
      <c r="G8" s="29">
        <f>-120*8</f>
        <v>-960</v>
      </c>
      <c r="H8" s="29">
        <v>-30</v>
      </c>
      <c r="I8" s="29"/>
      <c r="K8">
        <v>64</v>
      </c>
    </row>
    <row r="9" spans="1:11" x14ac:dyDescent="0.2">
      <c r="A9" t="s">
        <v>71</v>
      </c>
      <c r="B9" s="29">
        <v>4809</v>
      </c>
      <c r="D9" s="29">
        <v>417</v>
      </c>
      <c r="E9" s="1" t="s">
        <v>80</v>
      </c>
      <c r="F9" s="30">
        <v>180</v>
      </c>
      <c r="G9" s="29">
        <f>330*8</f>
        <v>2640</v>
      </c>
      <c r="H9" s="29">
        <v>-410</v>
      </c>
      <c r="I9" s="29">
        <v>991</v>
      </c>
      <c r="K9" s="29">
        <v>100</v>
      </c>
    </row>
    <row r="10" spans="1:11" x14ac:dyDescent="0.2">
      <c r="A10" t="s">
        <v>72</v>
      </c>
      <c r="B10" s="29">
        <v>5120</v>
      </c>
      <c r="D10" s="29">
        <v>1988.5</v>
      </c>
      <c r="E10" t="s">
        <v>74</v>
      </c>
      <c r="G10" s="29">
        <f>(11806.5-11540)*8</f>
        <v>2132</v>
      </c>
      <c r="I10" s="29">
        <v>233</v>
      </c>
      <c r="K10">
        <v>30</v>
      </c>
    </row>
    <row r="12" spans="1:11" x14ac:dyDescent="0.2">
      <c r="B12" s="29">
        <f>SUM(B3:B11)</f>
        <v>34574.5</v>
      </c>
      <c r="D12" s="29">
        <f>SUM(D3:D11)</f>
        <v>7962.5</v>
      </c>
      <c r="F12" s="29">
        <f>SUM(F3:F11)*1</f>
        <v>1550</v>
      </c>
      <c r="G12" s="29">
        <f>SUM(G3:G11)</f>
        <v>28457.5</v>
      </c>
    </row>
    <row r="14" spans="1:11" x14ac:dyDescent="0.2">
      <c r="A14" s="1" t="s">
        <v>75</v>
      </c>
      <c r="B14" s="29">
        <f>ROUND(B12*1.02,-1)</f>
        <v>35270</v>
      </c>
      <c r="C14" s="29">
        <f>SUM(C3:C13)</f>
        <v>3677.5</v>
      </c>
      <c r="D14" s="29">
        <f>ROUND(D12*1.04,-1)</f>
        <v>8280</v>
      </c>
      <c r="E14">
        <f>1096+192+244+321</f>
        <v>1853</v>
      </c>
      <c r="G14" s="29">
        <f>ROUND(G12*1.02,-1)</f>
        <v>29030</v>
      </c>
      <c r="H14" s="29">
        <f>SUM(H3:H13)</f>
        <v>2576.5</v>
      </c>
      <c r="I14" s="29">
        <f>SUM(I3:I13)</f>
        <v>4680</v>
      </c>
    </row>
    <row r="15" spans="1:11" x14ac:dyDescent="0.2">
      <c r="A15" s="1" t="s">
        <v>77</v>
      </c>
      <c r="B15" s="29">
        <f>ROUND(B14-120*8+C14*0.1*2,-1)</f>
        <v>35050</v>
      </c>
      <c r="D15" s="29">
        <f>ROUND(D14+E14*0.06*2,-1)</f>
        <v>8500</v>
      </c>
    </row>
    <row r="16" spans="1:11" x14ac:dyDescent="0.2">
      <c r="A16" s="1" t="s">
        <v>78</v>
      </c>
      <c r="B16" s="29">
        <f>ROUND(B14-120*8+C14*0.2*2,-1)</f>
        <v>35780</v>
      </c>
    </row>
    <row r="17" spans="1:7" x14ac:dyDescent="0.2">
      <c r="A17" s="1" t="s">
        <v>79</v>
      </c>
      <c r="B17" s="29">
        <f>ROUND(B14-120*8+C14*0.7*2,-1)</f>
        <v>39460</v>
      </c>
      <c r="D17" s="29">
        <f>ROUND(D14+E14*(0.5*2),-1)</f>
        <v>10130</v>
      </c>
    </row>
    <row r="19" spans="1:7" x14ac:dyDescent="0.2">
      <c r="A19" s="1" t="s">
        <v>81</v>
      </c>
      <c r="D19" s="29">
        <f>ROUND(D14+0.8*2*E14,-1)</f>
        <v>11240</v>
      </c>
      <c r="G19">
        <f>ROUND(G14+H14*1*2+500*0.5*2,-2)</f>
        <v>34700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7" zoomScale="130" zoomScaleNormal="100" zoomScaleSheetLayoutView="130" workbookViewId="0">
      <selection activeCell="A5" sqref="A5:XFD5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39" t="s">
        <v>88</v>
      </c>
      <c r="B1" s="140"/>
      <c r="C1" s="140"/>
      <c r="D1" s="47"/>
    </row>
    <row r="3" spans="1:11" x14ac:dyDescent="0.2">
      <c r="A3" s="141" t="s">
        <v>89</v>
      </c>
      <c r="B3" s="141"/>
      <c r="C3" s="141"/>
      <c r="D3" s="48"/>
    </row>
    <row r="6" spans="1:11" x14ac:dyDescent="0.2">
      <c r="A6" s="40">
        <v>1</v>
      </c>
      <c r="B6" s="41" t="s">
        <v>94</v>
      </c>
      <c r="C6" s="42">
        <v>122073.49</v>
      </c>
      <c r="D6" s="51"/>
      <c r="E6" s="39">
        <v>1300000</v>
      </c>
      <c r="G6" s="16">
        <v>132725.89999999997</v>
      </c>
      <c r="H6" s="14">
        <v>207692.97</v>
      </c>
    </row>
    <row r="7" spans="1:11" s="12" customFormat="1" x14ac:dyDescent="0.2">
      <c r="A7" s="40">
        <v>2</v>
      </c>
      <c r="B7" s="41" t="s">
        <v>52</v>
      </c>
      <c r="C7" s="42">
        <v>515139.06</v>
      </c>
      <c r="D7" s="51"/>
      <c r="E7" s="39"/>
      <c r="F7" s="24"/>
      <c r="G7" s="16">
        <v>560091.28</v>
      </c>
      <c r="H7" s="14">
        <v>860412.76</v>
      </c>
      <c r="K7"/>
    </row>
    <row r="8" spans="1:11" s="12" customFormat="1" x14ac:dyDescent="0.2">
      <c r="A8" s="40">
        <v>3</v>
      </c>
      <c r="B8" s="41" t="s">
        <v>95</v>
      </c>
      <c r="C8" s="42">
        <v>108405.99</v>
      </c>
      <c r="D8" s="51"/>
      <c r="E8" s="39"/>
      <c r="F8" s="24"/>
      <c r="G8" s="16">
        <v>117865.75</v>
      </c>
      <c r="H8" s="14">
        <v>172709.91999999998</v>
      </c>
      <c r="K8"/>
    </row>
    <row r="9" spans="1:11" s="12" customFormat="1" x14ac:dyDescent="0.2">
      <c r="A9" s="40">
        <v>4</v>
      </c>
      <c r="B9" s="41" t="s">
        <v>53</v>
      </c>
      <c r="C9" s="42">
        <v>160472.54</v>
      </c>
      <c r="D9" s="51"/>
      <c r="E9" s="39"/>
      <c r="F9" s="24"/>
      <c r="G9" s="16">
        <v>174475.74</v>
      </c>
      <c r="H9" s="14">
        <v>229258.82</v>
      </c>
      <c r="K9"/>
    </row>
    <row r="10" spans="1:11" s="12" customFormat="1" x14ac:dyDescent="0.2">
      <c r="A10" s="40">
        <v>5</v>
      </c>
      <c r="B10" s="41" t="s">
        <v>96</v>
      </c>
      <c r="C10" s="42">
        <v>367896.51</v>
      </c>
      <c r="D10" s="51"/>
      <c r="E10" s="39"/>
      <c r="F10" s="24"/>
      <c r="G10" s="16"/>
      <c r="H10" s="14">
        <v>503000</v>
      </c>
      <c r="K10"/>
    </row>
    <row r="11" spans="1:11" s="12" customFormat="1" x14ac:dyDescent="0.2">
      <c r="A11" s="40">
        <v>6</v>
      </c>
      <c r="B11" s="41" t="s">
        <v>97</v>
      </c>
      <c r="C11" s="42">
        <v>64864.88</v>
      </c>
      <c r="D11" s="51"/>
      <c r="E11" s="39">
        <v>260000</v>
      </c>
      <c r="F11" s="24"/>
      <c r="G11" s="18">
        <v>127672.3</v>
      </c>
      <c r="H11" s="17">
        <v>70525.140000000014</v>
      </c>
      <c r="K11"/>
    </row>
    <row r="12" spans="1:11" s="12" customFormat="1" x14ac:dyDescent="0.2">
      <c r="A12" s="40">
        <v>7</v>
      </c>
      <c r="B12" s="41" t="s">
        <v>54</v>
      </c>
      <c r="C12" s="42">
        <v>202515.42</v>
      </c>
      <c r="D12" s="51"/>
      <c r="E12" s="39"/>
      <c r="F12" s="24"/>
      <c r="G12" s="18">
        <v>375499.9</v>
      </c>
      <c r="H12" s="17">
        <v>220187.37999999995</v>
      </c>
      <c r="K12"/>
    </row>
    <row r="13" spans="1:11" ht="13.5" thickBot="1" x14ac:dyDescent="0.25">
      <c r="G13" t="e">
        <f>(#REF!/SUM(OBI!E6:E12))</f>
        <v>#REF!</v>
      </c>
    </row>
    <row r="14" spans="1:11" s="12" customFormat="1" ht="13.5" thickBot="1" x14ac:dyDescent="0.25">
      <c r="A14" s="142" t="s">
        <v>46</v>
      </c>
      <c r="B14" s="143"/>
      <c r="C14" s="44">
        <f>SUM(C6:C12)</f>
        <v>1541367.89</v>
      </c>
      <c r="D14" s="34"/>
      <c r="E14" s="43">
        <f>SUM(E6:E13)</f>
        <v>1560000</v>
      </c>
      <c r="F14" s="24"/>
      <c r="G14"/>
      <c r="H14" s="11"/>
      <c r="K14"/>
    </row>
    <row r="15" spans="1:11" s="12" customFormat="1" ht="13.5" thickBot="1" x14ac:dyDescent="0.25">
      <c r="A15" s="144" t="s">
        <v>55</v>
      </c>
      <c r="B15" s="145"/>
      <c r="C15" s="45">
        <f>C14*0.23</f>
        <v>354514.61469999998</v>
      </c>
      <c r="D15" s="34"/>
      <c r="E15" s="43">
        <f>E14*0.23</f>
        <v>358800</v>
      </c>
      <c r="F15" s="24"/>
      <c r="G15"/>
      <c r="H15" s="11"/>
      <c r="K15"/>
    </row>
    <row r="16" spans="1:11" s="12" customFormat="1" ht="13.5" thickBot="1" x14ac:dyDescent="0.25">
      <c r="A16" s="146" t="s">
        <v>56</v>
      </c>
      <c r="B16" s="147"/>
      <c r="C16" s="46">
        <f>C14*1.23</f>
        <v>1895882.5046999999</v>
      </c>
      <c r="D16" s="34"/>
      <c r="E16" s="43">
        <f>E14*1.23</f>
        <v>1918800</v>
      </c>
      <c r="F16" s="24"/>
      <c r="G16"/>
      <c r="H16" s="11"/>
      <c r="K16"/>
    </row>
    <row r="19" spans="1:11" s="12" customFormat="1" x14ac:dyDescent="0.2">
      <c r="A19" s="2"/>
      <c r="B19" s="4" t="s">
        <v>57</v>
      </c>
      <c r="C19" s="3">
        <v>35000000</v>
      </c>
      <c r="D19" s="3"/>
      <c r="E19" s="3"/>
      <c r="F19" s="24"/>
      <c r="G19">
        <f>295579567.42/475866334.34</f>
        <v>0.6211399001989758</v>
      </c>
      <c r="H19" s="11"/>
      <c r="K19"/>
    </row>
    <row r="20" spans="1:11" s="12" customFormat="1" x14ac:dyDescent="0.2">
      <c r="A20" s="2"/>
      <c r="B20"/>
      <c r="C20" s="6">
        <f>C16/C19</f>
        <v>5.4168071562857141E-2</v>
      </c>
      <c r="D20" s="6"/>
      <c r="E20" s="6"/>
      <c r="F20" s="24"/>
      <c r="G20"/>
      <c r="H20" s="11"/>
      <c r="K20"/>
    </row>
    <row r="21" spans="1:11" s="12" customFormat="1" x14ac:dyDescent="0.2">
      <c r="A21" s="2"/>
      <c r="B21"/>
      <c r="C21" s="31"/>
      <c r="D21" s="31"/>
      <c r="E21" s="31"/>
      <c r="F21" s="24"/>
      <c r="G21"/>
      <c r="H21" s="11"/>
      <c r="K21"/>
    </row>
    <row r="22" spans="1:11" s="24" customFormat="1" x14ac:dyDescent="0.2">
      <c r="A22" s="2"/>
      <c r="B22" s="36" t="s">
        <v>86</v>
      </c>
      <c r="C22" s="35">
        <v>23550000</v>
      </c>
      <c r="D22" s="37"/>
      <c r="E22" s="37" t="s">
        <v>87</v>
      </c>
      <c r="G22"/>
      <c r="H22" s="11"/>
      <c r="I22" s="12"/>
      <c r="J22" s="12"/>
      <c r="K22"/>
    </row>
    <row r="23" spans="1:11" s="24" customFormat="1" x14ac:dyDescent="0.2">
      <c r="A23" s="2"/>
      <c r="B23"/>
      <c r="C23" s="5">
        <f>C22*0.23</f>
        <v>5416500</v>
      </c>
      <c r="D23" s="34"/>
      <c r="E23" s="34"/>
      <c r="G23"/>
      <c r="H23" s="11"/>
      <c r="I23" s="12"/>
      <c r="J23" s="12"/>
      <c r="K23"/>
    </row>
    <row r="24" spans="1:11" s="24" customFormat="1" x14ac:dyDescent="0.2">
      <c r="A24" s="2"/>
      <c r="B24"/>
      <c r="C24" s="5">
        <f>C22*1.23</f>
        <v>28966500</v>
      </c>
      <c r="D24" s="34"/>
      <c r="E24" s="34"/>
      <c r="G24"/>
      <c r="H24" s="11"/>
      <c r="I24" s="12"/>
      <c r="J24" s="12"/>
      <c r="K24"/>
    </row>
    <row r="25" spans="1:11" s="24" customFormat="1" x14ac:dyDescent="0.2">
      <c r="A25" s="2"/>
      <c r="B25"/>
      <c r="C25" s="32">
        <f>C24/C19</f>
        <v>0.82761428571428575</v>
      </c>
      <c r="D25" s="32"/>
      <c r="E25" s="32"/>
      <c r="G25"/>
      <c r="H25" s="11"/>
      <c r="I25" s="12"/>
      <c r="J25" s="12"/>
      <c r="K25"/>
    </row>
    <row r="26" spans="1:11" s="24" customFormat="1" x14ac:dyDescent="0.2">
      <c r="A26" s="2"/>
      <c r="B26"/>
      <c r="C26" s="33"/>
      <c r="D26" s="33"/>
      <c r="E26" s="33"/>
      <c r="G26"/>
      <c r="H26" s="11"/>
      <c r="I26" s="12"/>
      <c r="J26" s="12"/>
      <c r="K26"/>
    </row>
  </sheetData>
  <mergeCells count="5">
    <mergeCell ref="A1:C1"/>
    <mergeCell ref="A3:C3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30" zoomScaleNormal="100" zoomScaleSheetLayoutView="130" workbookViewId="0">
      <selection activeCell="A5" sqref="A5:C6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39" t="s">
        <v>88</v>
      </c>
      <c r="B1" s="140"/>
      <c r="C1" s="140"/>
      <c r="D1" s="47"/>
    </row>
    <row r="3" spans="1:11" x14ac:dyDescent="0.2">
      <c r="A3" s="141" t="s">
        <v>89</v>
      </c>
      <c r="B3" s="141"/>
      <c r="C3" s="141"/>
      <c r="D3" s="48"/>
    </row>
    <row r="5" spans="1:11" x14ac:dyDescent="0.2">
      <c r="A5" s="9">
        <v>1</v>
      </c>
      <c r="B5" s="10" t="s">
        <v>98</v>
      </c>
      <c r="C5" s="38">
        <v>2062965.55</v>
      </c>
      <c r="D5" s="25"/>
      <c r="E5" s="39">
        <v>5400000</v>
      </c>
      <c r="F5" s="24">
        <v>0.7</v>
      </c>
      <c r="G5" s="23">
        <v>3204263.8</v>
      </c>
      <c r="H5" s="22" t="s">
        <v>62</v>
      </c>
    </row>
    <row r="6" spans="1:11" x14ac:dyDescent="0.2">
      <c r="A6" s="9">
        <v>2</v>
      </c>
      <c r="B6" s="10" t="s">
        <v>99</v>
      </c>
      <c r="C6" s="38">
        <v>2986632.55</v>
      </c>
      <c r="D6" s="25">
        <f>C5+C6</f>
        <v>5049598.0999999996</v>
      </c>
      <c r="E6" s="39"/>
      <c r="F6" s="24">
        <f>F5</f>
        <v>0.7</v>
      </c>
      <c r="G6" s="23">
        <v>4638932.8</v>
      </c>
      <c r="H6" s="11" t="s">
        <v>63</v>
      </c>
      <c r="K6" s="23">
        <v>3000000</v>
      </c>
    </row>
    <row r="7" spans="1:11" ht="13.5" thickBot="1" x14ac:dyDescent="0.25">
      <c r="A7" s="7"/>
      <c r="B7" s="8"/>
      <c r="C7" s="8"/>
      <c r="G7" t="e">
        <f>(#REF!/SUM(SBL!E5:E6))</f>
        <v>#REF!</v>
      </c>
    </row>
    <row r="8" spans="1:11" s="12" customFormat="1" ht="13.5" thickBot="1" x14ac:dyDescent="0.25">
      <c r="A8" s="148" t="s">
        <v>46</v>
      </c>
      <c r="B8" s="149"/>
      <c r="C8" s="52">
        <f>SUM(C5:C6)</f>
        <v>5049598.0999999996</v>
      </c>
      <c r="D8" s="34"/>
      <c r="E8" s="43">
        <f>SUM(E5:E7)</f>
        <v>5400000</v>
      </c>
      <c r="F8" s="24"/>
      <c r="G8"/>
      <c r="H8" s="11"/>
      <c r="K8"/>
    </row>
    <row r="9" spans="1:11" s="12" customFormat="1" ht="13.5" thickBot="1" x14ac:dyDescent="0.25">
      <c r="A9" s="150" t="s">
        <v>55</v>
      </c>
      <c r="B9" s="151"/>
      <c r="C9" s="53">
        <f>C8*0.23</f>
        <v>1161407.5629999998</v>
      </c>
      <c r="D9" s="34"/>
      <c r="E9" s="43">
        <f>E8*0.23</f>
        <v>1242000</v>
      </c>
      <c r="F9" s="24"/>
      <c r="G9"/>
      <c r="H9" s="11"/>
      <c r="K9"/>
    </row>
    <row r="10" spans="1:11" s="12" customFormat="1" ht="13.5" thickBot="1" x14ac:dyDescent="0.25">
      <c r="A10" s="152" t="s">
        <v>56</v>
      </c>
      <c r="B10" s="153"/>
      <c r="C10" s="54">
        <f>C8*1.23</f>
        <v>6211005.6629999997</v>
      </c>
      <c r="D10" s="34"/>
      <c r="E10" s="43">
        <f>E8*1.23</f>
        <v>6642000</v>
      </c>
      <c r="F10" s="24"/>
      <c r="G10"/>
      <c r="H10" s="11"/>
      <c r="K10"/>
    </row>
    <row r="13" spans="1:11" s="12" customFormat="1" x14ac:dyDescent="0.2">
      <c r="A13" s="2"/>
      <c r="B13" s="4" t="s">
        <v>57</v>
      </c>
      <c r="C13" s="3">
        <v>35000000</v>
      </c>
      <c r="D13" s="3"/>
      <c r="E13" s="3"/>
      <c r="F13" s="24"/>
      <c r="G13">
        <f>295579567.42/475866334.34</f>
        <v>0.6211399001989758</v>
      </c>
      <c r="H13" s="11"/>
      <c r="K13"/>
    </row>
    <row r="14" spans="1:11" s="12" customFormat="1" x14ac:dyDescent="0.2">
      <c r="A14" s="2"/>
      <c r="B14"/>
      <c r="C14" s="6">
        <f>C10/C13</f>
        <v>0.17745730465714285</v>
      </c>
      <c r="D14" s="6"/>
      <c r="E14" s="6"/>
      <c r="F14" s="24"/>
      <c r="G14"/>
      <c r="H14" s="11"/>
      <c r="K14"/>
    </row>
    <row r="15" spans="1:11" s="12" customFormat="1" x14ac:dyDescent="0.2">
      <c r="A15" s="2"/>
      <c r="B15"/>
      <c r="C15" s="31"/>
      <c r="D15" s="31"/>
      <c r="E15" s="31"/>
      <c r="F15" s="24"/>
      <c r="G15"/>
      <c r="H15" s="11"/>
      <c r="K15"/>
    </row>
    <row r="16" spans="1:11" s="24" customFormat="1" x14ac:dyDescent="0.2">
      <c r="A16" s="2"/>
      <c r="B16" s="36" t="s">
        <v>86</v>
      </c>
      <c r="C16" s="35">
        <v>23550000</v>
      </c>
      <c r="D16" s="37"/>
      <c r="E16" s="37" t="s">
        <v>87</v>
      </c>
      <c r="G16"/>
      <c r="H16" s="11"/>
      <c r="I16" s="12"/>
      <c r="J16" s="12"/>
      <c r="K16"/>
    </row>
    <row r="17" spans="1:11" s="24" customFormat="1" x14ac:dyDescent="0.2">
      <c r="A17" s="2"/>
      <c r="B17"/>
      <c r="C17" s="5">
        <f>C16*0.23</f>
        <v>5416500</v>
      </c>
      <c r="D17" s="34"/>
      <c r="E17" s="34"/>
      <c r="G17"/>
      <c r="H17" s="11"/>
      <c r="I17" s="12"/>
      <c r="J17" s="12"/>
      <c r="K17"/>
    </row>
    <row r="18" spans="1:11" s="24" customFormat="1" x14ac:dyDescent="0.2">
      <c r="A18" s="2"/>
      <c r="B18"/>
      <c r="C18" s="5">
        <f>C16*1.23</f>
        <v>28966500</v>
      </c>
      <c r="D18" s="34"/>
      <c r="E18" s="34"/>
      <c r="G18"/>
      <c r="H18" s="11"/>
      <c r="I18" s="12"/>
      <c r="J18" s="12"/>
      <c r="K18"/>
    </row>
    <row r="19" spans="1:11" s="24" customFormat="1" x14ac:dyDescent="0.2">
      <c r="A19" s="2"/>
      <c r="B19"/>
      <c r="C19" s="32">
        <f>C18/C13</f>
        <v>0.82761428571428575</v>
      </c>
      <c r="D19" s="32"/>
      <c r="E19" s="32"/>
      <c r="G19"/>
      <c r="H19" s="11"/>
      <c r="I19" s="12"/>
      <c r="J19" s="12"/>
      <c r="K19"/>
    </row>
    <row r="20" spans="1:11" s="24" customFormat="1" x14ac:dyDescent="0.2">
      <c r="A20" s="2"/>
      <c r="B20"/>
      <c r="C20" s="33"/>
      <c r="D20" s="33"/>
      <c r="E20" s="33"/>
      <c r="G20"/>
      <c r="H20" s="11"/>
      <c r="I20" s="12"/>
      <c r="J20" s="12"/>
      <c r="K20"/>
    </row>
  </sheetData>
  <mergeCells count="5">
    <mergeCell ref="A1:C1"/>
    <mergeCell ref="A3:C3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130" zoomScaleNormal="100" zoomScaleSheetLayoutView="130" workbookViewId="0">
      <selection activeCell="A5" sqref="A5:C13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39" t="s">
        <v>88</v>
      </c>
      <c r="B1" s="140"/>
      <c r="C1" s="140"/>
      <c r="D1" s="47"/>
    </row>
    <row r="3" spans="1:11" x14ac:dyDescent="0.2">
      <c r="A3" s="141" t="s">
        <v>89</v>
      </c>
      <c r="B3" s="141"/>
      <c r="C3" s="141"/>
      <c r="D3" s="48"/>
    </row>
    <row r="5" spans="1:11" x14ac:dyDescent="0.2">
      <c r="A5" s="9">
        <v>1</v>
      </c>
      <c r="B5" s="10" t="s">
        <v>90</v>
      </c>
      <c r="C5" s="38">
        <v>52545.19</v>
      </c>
      <c r="D5" s="49"/>
      <c r="E5" s="39">
        <v>1800000</v>
      </c>
    </row>
    <row r="6" spans="1:11" x14ac:dyDescent="0.2">
      <c r="A6" s="9">
        <v>2</v>
      </c>
      <c r="B6" s="10" t="s">
        <v>48</v>
      </c>
      <c r="C6" s="38">
        <v>1706871.43</v>
      </c>
      <c r="D6" s="49"/>
      <c r="E6" s="39"/>
    </row>
    <row r="7" spans="1:11" x14ac:dyDescent="0.2">
      <c r="A7" s="9">
        <f>A6+1</f>
        <v>3</v>
      </c>
      <c r="B7" s="10" t="s">
        <v>47</v>
      </c>
      <c r="C7" s="38">
        <v>28981.200000000001</v>
      </c>
      <c r="D7" s="49"/>
      <c r="E7" s="39"/>
    </row>
    <row r="8" spans="1:11" x14ac:dyDescent="0.2">
      <c r="A8" s="9">
        <f t="shared" ref="A8:A13" si="0">A7+1</f>
        <v>4</v>
      </c>
      <c r="B8" s="10" t="s">
        <v>92</v>
      </c>
      <c r="C8" s="38">
        <v>277587.01</v>
      </c>
      <c r="D8" s="49"/>
      <c r="E8" s="39">
        <v>340000</v>
      </c>
    </row>
    <row r="9" spans="1:11" x14ac:dyDescent="0.2">
      <c r="A9" s="9">
        <f t="shared" si="0"/>
        <v>5</v>
      </c>
      <c r="B9" s="10" t="s">
        <v>91</v>
      </c>
      <c r="C9" s="38">
        <v>55580.4</v>
      </c>
      <c r="D9" s="49"/>
      <c r="E9" s="8"/>
      <c r="I9" s="15" t="s">
        <v>60</v>
      </c>
      <c r="J9" s="19" t="s">
        <v>61</v>
      </c>
    </row>
    <row r="10" spans="1:11" x14ac:dyDescent="0.2">
      <c r="A10" s="9">
        <f t="shared" si="0"/>
        <v>6</v>
      </c>
      <c r="B10" s="10" t="s">
        <v>49</v>
      </c>
      <c r="C10" s="38">
        <v>153905.23000000001</v>
      </c>
      <c r="D10" s="50"/>
      <c r="E10" s="39">
        <v>900000</v>
      </c>
      <c r="I10" s="20">
        <v>194463.07</v>
      </c>
      <c r="J10" s="18">
        <v>571327.76</v>
      </c>
    </row>
    <row r="11" spans="1:11" x14ac:dyDescent="0.2">
      <c r="A11" s="9">
        <f t="shared" si="0"/>
        <v>7</v>
      </c>
      <c r="B11" s="10" t="s">
        <v>50</v>
      </c>
      <c r="C11" s="38">
        <v>707707.76</v>
      </c>
      <c r="D11" s="50"/>
      <c r="E11" s="39"/>
      <c r="I11" s="20">
        <v>938528.81</v>
      </c>
      <c r="J11" s="18">
        <v>1858327.32</v>
      </c>
    </row>
    <row r="12" spans="1:11" x14ac:dyDescent="0.2">
      <c r="A12" s="9">
        <f t="shared" si="0"/>
        <v>8</v>
      </c>
      <c r="B12" s="10" t="s">
        <v>51</v>
      </c>
      <c r="C12" s="38">
        <v>11701.09</v>
      </c>
      <c r="D12" s="50"/>
      <c r="E12" s="39"/>
      <c r="I12" s="20">
        <v>18040.53</v>
      </c>
      <c r="J12" s="18">
        <v>28509.66</v>
      </c>
    </row>
    <row r="13" spans="1:11" x14ac:dyDescent="0.2">
      <c r="A13" s="9">
        <f t="shared" si="0"/>
        <v>9</v>
      </c>
      <c r="B13" s="10" t="s">
        <v>93</v>
      </c>
      <c r="C13" s="38">
        <v>1706.1</v>
      </c>
      <c r="D13" s="50"/>
      <c r="E13" s="39"/>
      <c r="G13" s="15" t="s">
        <v>59</v>
      </c>
      <c r="H13" s="13" t="s">
        <v>58</v>
      </c>
      <c r="I13" s="21"/>
      <c r="J13" s="18"/>
    </row>
    <row r="14" spans="1:11" ht="13.5" thickBot="1" x14ac:dyDescent="0.25">
      <c r="G14" t="e">
        <f>(#REF!/SUM(ZISCO!E5:E13))</f>
        <v>#REF!</v>
      </c>
    </row>
    <row r="15" spans="1:11" s="12" customFormat="1" ht="13.5" thickBot="1" x14ac:dyDescent="0.25">
      <c r="A15" s="142" t="s">
        <v>46</v>
      </c>
      <c r="B15" s="143"/>
      <c r="C15" s="44">
        <f>SUM(C5:C13)</f>
        <v>2996585.4099999997</v>
      </c>
      <c r="D15" s="34"/>
      <c r="E15" s="43">
        <f>SUM(E5:E14)</f>
        <v>3040000</v>
      </c>
      <c r="F15" s="24"/>
      <c r="G15"/>
      <c r="H15" s="11"/>
      <c r="K15"/>
    </row>
    <row r="16" spans="1:11" s="12" customFormat="1" ht="13.5" thickBot="1" x14ac:dyDescent="0.25">
      <c r="A16" s="144" t="s">
        <v>55</v>
      </c>
      <c r="B16" s="145"/>
      <c r="C16" s="45">
        <f>C15*0.23</f>
        <v>689214.64429999993</v>
      </c>
      <c r="D16" s="34"/>
      <c r="E16" s="43">
        <f>E15*0.23</f>
        <v>699200</v>
      </c>
      <c r="F16" s="24"/>
      <c r="G16"/>
      <c r="H16" s="11"/>
      <c r="K16"/>
    </row>
    <row r="17" spans="1:11" s="12" customFormat="1" ht="13.5" thickBot="1" x14ac:dyDescent="0.25">
      <c r="A17" s="146" t="s">
        <v>56</v>
      </c>
      <c r="B17" s="147"/>
      <c r="C17" s="46">
        <f>C15*1.23</f>
        <v>3685800.0542999995</v>
      </c>
      <c r="D17" s="34"/>
      <c r="E17" s="43">
        <f>E15*1.23</f>
        <v>3739200</v>
      </c>
      <c r="F17" s="24"/>
      <c r="G17"/>
      <c r="H17" s="11"/>
      <c r="K17"/>
    </row>
    <row r="20" spans="1:11" s="12" customFormat="1" x14ac:dyDescent="0.2">
      <c r="A20" s="2"/>
      <c r="B20" s="4" t="s">
        <v>57</v>
      </c>
      <c r="C20" s="3">
        <v>35000000</v>
      </c>
      <c r="D20" s="3"/>
      <c r="E20" s="3"/>
      <c r="F20" s="24"/>
      <c r="G20">
        <f>295579567.42/475866334.34</f>
        <v>0.6211399001989758</v>
      </c>
      <c r="H20" s="11"/>
      <c r="K20"/>
    </row>
    <row r="21" spans="1:11" s="12" customFormat="1" x14ac:dyDescent="0.2">
      <c r="A21" s="2"/>
      <c r="B21"/>
      <c r="C21" s="6">
        <f>C17/C20</f>
        <v>0.10530857297999999</v>
      </c>
      <c r="D21" s="6"/>
      <c r="E21" s="6"/>
      <c r="F21" s="24"/>
      <c r="G21"/>
      <c r="H21" s="11"/>
      <c r="K21"/>
    </row>
    <row r="22" spans="1:11" s="12" customFormat="1" x14ac:dyDescent="0.2">
      <c r="A22" s="2"/>
      <c r="B22"/>
      <c r="C22" s="31"/>
      <c r="D22" s="31"/>
      <c r="E22" s="31"/>
      <c r="F22" s="24"/>
      <c r="G22"/>
      <c r="H22" s="11"/>
      <c r="K22"/>
    </row>
    <row r="23" spans="1:11" s="24" customFormat="1" x14ac:dyDescent="0.2">
      <c r="A23" s="2"/>
      <c r="B23" s="36" t="s">
        <v>86</v>
      </c>
      <c r="C23" s="35">
        <v>23550000</v>
      </c>
      <c r="D23" s="37"/>
      <c r="E23" s="37" t="s">
        <v>87</v>
      </c>
      <c r="G23"/>
      <c r="H23" s="11"/>
      <c r="I23" s="12"/>
      <c r="J23" s="12"/>
      <c r="K23"/>
    </row>
    <row r="24" spans="1:11" s="24" customFormat="1" x14ac:dyDescent="0.2">
      <c r="A24" s="2"/>
      <c r="B24"/>
      <c r="C24" s="5">
        <f>C23*0.23</f>
        <v>5416500</v>
      </c>
      <c r="D24" s="34"/>
      <c r="E24" s="34"/>
      <c r="G24"/>
      <c r="H24" s="11"/>
      <c r="I24" s="12"/>
      <c r="J24" s="12"/>
      <c r="K24"/>
    </row>
    <row r="25" spans="1:11" s="24" customFormat="1" x14ac:dyDescent="0.2">
      <c r="A25" s="2"/>
      <c r="B25"/>
      <c r="C25" s="5">
        <f>C23*1.23</f>
        <v>28966500</v>
      </c>
      <c r="D25" s="34"/>
      <c r="E25" s="34"/>
      <c r="G25"/>
      <c r="H25" s="11"/>
      <c r="I25" s="12"/>
      <c r="J25" s="12"/>
      <c r="K25"/>
    </row>
    <row r="26" spans="1:11" s="24" customFormat="1" x14ac:dyDescent="0.2">
      <c r="A26" s="2"/>
      <c r="B26"/>
      <c r="C26" s="32">
        <f>C25/C20</f>
        <v>0.82761428571428575</v>
      </c>
      <c r="D26" s="32"/>
      <c r="E26" s="32"/>
      <c r="G26"/>
      <c r="H26" s="11"/>
      <c r="I26" s="12"/>
      <c r="J26" s="12"/>
      <c r="K26"/>
    </row>
    <row r="27" spans="1:11" s="24" customFormat="1" x14ac:dyDescent="0.2">
      <c r="A27" s="2"/>
      <c r="B27"/>
      <c r="C27" s="33"/>
      <c r="D27" s="33"/>
      <c r="E27" s="33"/>
      <c r="G27"/>
      <c r="H27" s="11"/>
      <c r="I27" s="12"/>
      <c r="J27" s="12"/>
      <c r="K27"/>
    </row>
  </sheetData>
  <mergeCells count="5">
    <mergeCell ref="A1:C1"/>
    <mergeCell ref="A3:C3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branza drogowa</vt:lpstr>
      <vt:lpstr>Drzewa</vt:lpstr>
      <vt:lpstr>Powierzchnie</vt:lpstr>
      <vt:lpstr>OBI</vt:lpstr>
      <vt:lpstr>SBL</vt:lpstr>
      <vt:lpstr>ZISCO</vt:lpstr>
      <vt:lpstr>'branza drogowa'!Obszar_wydruku</vt:lpstr>
      <vt:lpstr>OBI!Obszar_wydruku</vt:lpstr>
      <vt:lpstr>SBL!Obszar_wydruku</vt:lpstr>
      <vt:lpstr>ZISCO!Obszar_wydruku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Buchta</dc:creator>
  <cp:lastModifiedBy>Małgorzata Banasiak</cp:lastModifiedBy>
  <cp:lastPrinted>2018-11-23T12:36:02Z</cp:lastPrinted>
  <dcterms:created xsi:type="dcterms:W3CDTF">2016-02-18T06:36:08Z</dcterms:created>
  <dcterms:modified xsi:type="dcterms:W3CDTF">2018-11-23T13:10:43Z</dcterms:modified>
</cp:coreProperties>
</file>